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leschold\Desktop\Staff Benefit Proration Information\2016-17\"/>
    </mc:Choice>
  </mc:AlternateContent>
  <bookViews>
    <workbookView xWindow="120" yWindow="30" windowWidth="15255" windowHeight="8160" tabRatio="1000" activeTab="1"/>
  </bookViews>
  <sheets>
    <sheet name="All Health (19) 2017" sheetId="29" r:id="rId1"/>
    <sheet name="All Health 24 Teacher Only-2017" sheetId="30" r:id="rId2"/>
    <sheet name="All Health 24-Non-Teacher-2017" sheetId="31" r:id="rId3"/>
    <sheet name="All Health (20) 2017" sheetId="32" r:id="rId4"/>
    <sheet name="All Health (19) - 15" sheetId="28" state="hidden" r:id="rId5"/>
    <sheet name="All Health 24-Teachers Only-15" sheetId="27" state="hidden" r:id="rId6"/>
    <sheet name="All Health (20)-15" sheetId="24" state="hidden" r:id="rId7"/>
    <sheet name="All Heath-Non-Teacher(24) 15" sheetId="23" state="hidden" r:id="rId8"/>
    <sheet name="Health 250-500 (2014)" sheetId="20" state="hidden" r:id="rId9"/>
    <sheet name="Health 1500-3000 (2014)" sheetId="21" state="hidden" r:id="rId10"/>
    <sheet name="Option New Amounts 2014 " sheetId="18" state="hidden" r:id="rId11"/>
    <sheet name="Benefits-Deductions 13-14" sheetId="19" state="hidden" r:id="rId12"/>
    <sheet name="Paraprofessional" sheetId="1" state="hidden" r:id="rId13"/>
    <sheet name="Cook" sheetId="2" state="hidden" r:id="rId14"/>
    <sheet name="Busdriver" sheetId="3" state="hidden" r:id="rId15"/>
    <sheet name="Custodian" sheetId="4" state="hidden" r:id="rId16"/>
    <sheet name="Admin" sheetId="8" state="hidden" r:id="rId17"/>
    <sheet name="Teaching Staff" sheetId="5" state="hidden" r:id="rId18"/>
    <sheet name="9-Mo. Sec" sheetId="7" state="hidden" r:id="rId19"/>
    <sheet name="Nurse" sheetId="12" state="hidden" r:id="rId20"/>
    <sheet name="Com. Ed" sheetId="14" state="hidden" r:id="rId21"/>
    <sheet name="Virtual Coor." sheetId="16" state="hidden" r:id="rId22"/>
    <sheet name="12 Mo. Secretary" sheetId="6" state="hidden" r:id="rId23"/>
    <sheet name="Bookkeeper" sheetId="15" state="hidden" r:id="rId24"/>
  </sheets>
  <definedNames>
    <definedName name="_xlnm.Print_Area" localSheetId="4">'All Health (19) - 15'!$A$1:$Q$42</definedName>
    <definedName name="_xlnm.Print_Area" localSheetId="0">'All Health (19) 2017'!$A$1:$O$37</definedName>
    <definedName name="_xlnm.Print_Area" localSheetId="3">'All Health (20) 2017'!$A$1:$P$36</definedName>
    <definedName name="_xlnm.Print_Area" localSheetId="6">'All Health (20)-15'!$A$1:$Q$43</definedName>
    <definedName name="_xlnm.Print_Area" localSheetId="1">'All Health 24 Teacher Only-2017'!$A$1:$P$35</definedName>
    <definedName name="_xlnm.Print_Area" localSheetId="2">'All Health 24-Non-Teacher-2017'!$A$1:$Z$37</definedName>
    <definedName name="_xlnm.Print_Area" localSheetId="5">'All Health 24-Teachers Only-15'!$A$1:$Q$43</definedName>
    <definedName name="_xlnm.Print_Area" localSheetId="7">'All Heath-Non-Teacher(24) 15'!$A$1:$AA$53</definedName>
    <definedName name="_xlnm.Print_Area" localSheetId="9">'Health 1500-3000 (2014)'!$A$1:$P$36</definedName>
    <definedName name="_xlnm.Print_Area" localSheetId="8">'Health 250-500 (2014)'!$A$1:$P$36</definedName>
  </definedNames>
  <calcPr calcId="152511"/>
</workbook>
</file>

<file path=xl/calcChain.xml><?xml version="1.0" encoding="utf-8"?>
<calcChain xmlns="http://schemas.openxmlformats.org/spreadsheetml/2006/main">
  <c r="N15" i="30" l="1"/>
  <c r="O25" i="29" l="1"/>
  <c r="O24" i="29"/>
  <c r="O22" i="29"/>
  <c r="O21" i="29"/>
  <c r="O19" i="29"/>
  <c r="O18" i="29"/>
  <c r="O16" i="29"/>
  <c r="O15" i="29"/>
  <c r="O13" i="29"/>
  <c r="O12" i="29"/>
  <c r="I25" i="29"/>
  <c r="I24" i="29"/>
  <c r="I22" i="29"/>
  <c r="I21" i="29"/>
  <c r="I19" i="29"/>
  <c r="I18" i="29"/>
  <c r="I16" i="29"/>
  <c r="I15" i="29"/>
  <c r="I13" i="29"/>
  <c r="I12" i="29"/>
  <c r="P16" i="32"/>
  <c r="P14" i="32"/>
  <c r="J16" i="32"/>
  <c r="J14" i="32"/>
  <c r="P15" i="30"/>
  <c r="P13" i="30"/>
  <c r="J15" i="30"/>
  <c r="O19" i="31"/>
  <c r="N19" i="31"/>
  <c r="G14" i="31"/>
  <c r="G12" i="31"/>
  <c r="J13" i="30"/>
  <c r="N36" i="31"/>
  <c r="O36" i="31"/>
  <c r="O13" i="31"/>
  <c r="O11" i="31"/>
  <c r="J12" i="31"/>
  <c r="J14" i="31"/>
  <c r="Z35" i="31" l="1"/>
  <c r="Z31" i="31"/>
  <c r="Z27" i="31"/>
  <c r="Z19" i="31"/>
  <c r="Z23" i="31" s="1"/>
  <c r="Y19" i="31" l="1"/>
  <c r="S14" i="31"/>
  <c r="S12" i="31"/>
  <c r="U12" i="31"/>
  <c r="U14" i="31"/>
  <c r="G13" i="29"/>
  <c r="C14" i="32" l="1"/>
  <c r="D14" i="32"/>
  <c r="C15" i="32"/>
  <c r="D15" i="32"/>
  <c r="B28" i="29"/>
  <c r="C28" i="29"/>
  <c r="B30" i="29"/>
  <c r="C30" i="29"/>
  <c r="B32" i="29"/>
  <c r="C32" i="29"/>
  <c r="B34" i="29"/>
  <c r="C34" i="29"/>
  <c r="B36" i="29"/>
  <c r="C36" i="29"/>
  <c r="J24" i="31" l="1"/>
  <c r="J22" i="31"/>
  <c r="J30" i="30"/>
  <c r="P31" i="32"/>
  <c r="J31" i="32"/>
  <c r="P29" i="32"/>
  <c r="J29" i="32"/>
  <c r="O16" i="32"/>
  <c r="N16" i="32"/>
  <c r="I16" i="32"/>
  <c r="O14" i="32"/>
  <c r="N14" i="32"/>
  <c r="I14" i="32"/>
  <c r="G14" i="32" s="1"/>
  <c r="D27" i="31"/>
  <c r="D37" i="31" s="1"/>
  <c r="D9" i="31"/>
  <c r="D17" i="31" s="1"/>
  <c r="C9" i="31"/>
  <c r="C15" i="31" s="1"/>
  <c r="Z36" i="31"/>
  <c r="Y36" i="31" s="1"/>
  <c r="AB36" i="31" s="1"/>
  <c r="Y35" i="31"/>
  <c r="AB35" i="31" s="1"/>
  <c r="Y31" i="31"/>
  <c r="AB31" i="31" s="1"/>
  <c r="U24" i="31"/>
  <c r="U22" i="31"/>
  <c r="Y27" i="31"/>
  <c r="AB27" i="31" s="1"/>
  <c r="Y23" i="31"/>
  <c r="AB23" i="31" s="1"/>
  <c r="Y20" i="31"/>
  <c r="I14" i="31"/>
  <c r="H14" i="31" s="1"/>
  <c r="AB13" i="31"/>
  <c r="Z13" i="31"/>
  <c r="N13" i="31"/>
  <c r="I12" i="31"/>
  <c r="AB11" i="31"/>
  <c r="Z11" i="31"/>
  <c r="N11" i="31"/>
  <c r="C16" i="30"/>
  <c r="D15" i="30"/>
  <c r="D16" i="30" s="1"/>
  <c r="P30" i="30"/>
  <c r="P28" i="30"/>
  <c r="J28" i="30"/>
  <c r="O15" i="30"/>
  <c r="I15" i="30"/>
  <c r="O13" i="30"/>
  <c r="N13" i="30"/>
  <c r="I13" i="30"/>
  <c r="C19" i="29"/>
  <c r="B19" i="29"/>
  <c r="C17" i="29"/>
  <c r="B17" i="29"/>
  <c r="C15" i="29"/>
  <c r="B15" i="29"/>
  <c r="C13" i="29"/>
  <c r="B13" i="29"/>
  <c r="C11" i="29"/>
  <c r="B11" i="29"/>
  <c r="O31" i="29"/>
  <c r="I31" i="29"/>
  <c r="O29" i="29"/>
  <c r="I29" i="29"/>
  <c r="N24" i="29"/>
  <c r="M24" i="29"/>
  <c r="H24" i="29"/>
  <c r="G24" i="29"/>
  <c r="N21" i="29"/>
  <c r="M21" i="29"/>
  <c r="H21" i="29"/>
  <c r="G21" i="29"/>
  <c r="N18" i="29"/>
  <c r="M18" i="29"/>
  <c r="H18" i="29"/>
  <c r="G18" i="29"/>
  <c r="N15" i="29"/>
  <c r="M15" i="29"/>
  <c r="H15" i="29"/>
  <c r="G15" i="29"/>
  <c r="N13" i="29"/>
  <c r="N25" i="29" s="1"/>
  <c r="M25" i="29" s="1"/>
  <c r="H13" i="29"/>
  <c r="H22" i="29" s="1"/>
  <c r="G22" i="29" s="1"/>
  <c r="N12" i="29"/>
  <c r="M12" i="29" s="1"/>
  <c r="H12" i="29"/>
  <c r="G12" i="29"/>
  <c r="G16" i="32" l="1"/>
  <c r="H16" i="32" s="1"/>
  <c r="H14" i="32"/>
  <c r="G15" i="30"/>
  <c r="H15" i="30" s="1"/>
  <c r="G13" i="30"/>
  <c r="H13" i="30" s="1"/>
  <c r="N20" i="31"/>
  <c r="O35" i="31"/>
  <c r="O31" i="31"/>
  <c r="O27" i="31"/>
  <c r="O23" i="31"/>
  <c r="N23" i="31" s="1"/>
  <c r="H16" i="29"/>
  <c r="G16" i="29" s="1"/>
  <c r="H25" i="29"/>
  <c r="H19" i="29"/>
  <c r="G19" i="29" s="1"/>
  <c r="O20" i="31"/>
  <c r="O24" i="31" s="1"/>
  <c r="N24" i="31" s="1"/>
  <c r="AB19" i="31"/>
  <c r="D35" i="31"/>
  <c r="H12" i="31"/>
  <c r="D15" i="31"/>
  <c r="D33" i="31"/>
  <c r="C13" i="31"/>
  <c r="N27" i="31"/>
  <c r="N31" i="31"/>
  <c r="D13" i="31"/>
  <c r="C19" i="31"/>
  <c r="Z20" i="31"/>
  <c r="AB20" i="31" s="1"/>
  <c r="N35" i="31"/>
  <c r="D31" i="31"/>
  <c r="C17" i="31"/>
  <c r="D19" i="31"/>
  <c r="D29" i="31"/>
  <c r="N16" i="29"/>
  <c r="M16" i="29" s="1"/>
  <c r="N19" i="29"/>
  <c r="M19" i="29" s="1"/>
  <c r="N22" i="29"/>
  <c r="M22" i="29" s="1"/>
  <c r="D25" i="28"/>
  <c r="D13" i="28"/>
  <c r="D22" i="28" s="1"/>
  <c r="C22" i="28" s="1"/>
  <c r="J13" i="28"/>
  <c r="J25" i="28" s="1"/>
  <c r="O32" i="31" l="1"/>
  <c r="N32" i="31" s="1"/>
  <c r="O28" i="31"/>
  <c r="N28" i="31" s="1"/>
  <c r="G25" i="29"/>
  <c r="Z28" i="31"/>
  <c r="Y28" i="31" s="1"/>
  <c r="AB28" i="31" s="1"/>
  <c r="Z32" i="31"/>
  <c r="Y32" i="31" s="1"/>
  <c r="AB32" i="31" s="1"/>
  <c r="Z24" i="31"/>
  <c r="Y24" i="31" s="1"/>
  <c r="AB24" i="31" s="1"/>
  <c r="D16" i="28"/>
  <c r="C16" i="28" s="1"/>
  <c r="C25" i="28" s="1"/>
  <c r="D19" i="28"/>
  <c r="C19" i="28" s="1"/>
  <c r="J16" i="28"/>
  <c r="I16" i="28" s="1"/>
  <c r="J22" i="28"/>
  <c r="I22" i="28" s="1"/>
  <c r="J19" i="28"/>
  <c r="I19" i="28" s="1"/>
  <c r="Q31" i="28"/>
  <c r="Q29" i="28"/>
  <c r="K31" i="28"/>
  <c r="K29" i="28"/>
  <c r="G42" i="28"/>
  <c r="F42" i="28"/>
  <c r="G40" i="28"/>
  <c r="F40" i="28"/>
  <c r="G38" i="28"/>
  <c r="F38" i="28"/>
  <c r="G36" i="28"/>
  <c r="F36" i="28"/>
  <c r="G34" i="28"/>
  <c r="F34" i="28"/>
  <c r="C42" i="28"/>
  <c r="B42" i="28"/>
  <c r="C40" i="28"/>
  <c r="B40" i="28"/>
  <c r="C38" i="28"/>
  <c r="B38" i="28"/>
  <c r="C36" i="28"/>
  <c r="B36" i="28"/>
  <c r="C34" i="28"/>
  <c r="B34" i="28"/>
  <c r="I25" i="28" l="1"/>
  <c r="O12" i="28"/>
  <c r="P12" i="28"/>
  <c r="D24" i="28"/>
  <c r="C24" i="28"/>
  <c r="D21" i="28"/>
  <c r="C21" i="28"/>
  <c r="D18" i="28"/>
  <c r="C18" i="28"/>
  <c r="C15" i="28"/>
  <c r="D15" i="28"/>
  <c r="C12" i="28" l="1"/>
  <c r="D12" i="28"/>
  <c r="P24" i="28"/>
  <c r="O24" i="28"/>
  <c r="P21" i="28"/>
  <c r="O21" i="28"/>
  <c r="P18" i="28"/>
  <c r="O18" i="28"/>
  <c r="P13" i="28"/>
  <c r="O15" i="28"/>
  <c r="P15" i="28"/>
  <c r="I15" i="28"/>
  <c r="J12" i="28"/>
  <c r="I12" i="28"/>
  <c r="J24" i="28"/>
  <c r="I24" i="28"/>
  <c r="J21" i="28"/>
  <c r="I21" i="28"/>
  <c r="J18" i="28"/>
  <c r="I18" i="28"/>
  <c r="J15" i="28"/>
  <c r="D35" i="27"/>
  <c r="D36" i="27" s="1"/>
  <c r="Q31" i="27"/>
  <c r="Q29" i="27"/>
  <c r="K29" i="27"/>
  <c r="O16" i="27"/>
  <c r="O14" i="27"/>
  <c r="P14" i="27"/>
  <c r="P16" i="27"/>
  <c r="J16" i="27"/>
  <c r="I16" i="27" s="1"/>
  <c r="J14" i="27"/>
  <c r="I14" i="27" s="1"/>
  <c r="D16" i="27"/>
  <c r="C16" i="27" s="1"/>
  <c r="D14" i="27"/>
  <c r="C14" i="27" s="1"/>
  <c r="C36" i="27"/>
  <c r="P16" i="28" l="1"/>
  <c r="O16" i="28" s="1"/>
  <c r="P19" i="28"/>
  <c r="O19" i="28"/>
  <c r="P22" i="28"/>
  <c r="O22" i="28" s="1"/>
  <c r="P25" i="28"/>
  <c r="O25" i="28" s="1"/>
  <c r="J16" i="24"/>
  <c r="I16" i="24" s="1"/>
  <c r="J14" i="24"/>
  <c r="I14" i="24" s="1"/>
  <c r="D16" i="24" l="1"/>
  <c r="C16" i="24" s="1"/>
  <c r="D14" i="24"/>
  <c r="C14" i="24" s="1"/>
  <c r="O16" i="24"/>
  <c r="P16" i="24"/>
  <c r="O14" i="24"/>
  <c r="P14" i="24"/>
  <c r="Q31" i="24"/>
  <c r="Q29" i="24"/>
  <c r="AC13" i="23" l="1"/>
  <c r="AC11" i="23"/>
  <c r="AA19" i="23"/>
  <c r="D11" i="23"/>
  <c r="P43" i="23" l="1"/>
  <c r="P53" i="23" s="1"/>
  <c r="O43" i="23"/>
  <c r="O53" i="23" s="1"/>
  <c r="O47" i="23" l="1"/>
  <c r="O51" i="23"/>
  <c r="P49" i="23"/>
  <c r="P47" i="23"/>
  <c r="P51" i="23"/>
  <c r="O49" i="23"/>
  <c r="AA13" i="23"/>
  <c r="AA11" i="23"/>
  <c r="V14" i="23"/>
  <c r="V12" i="23"/>
  <c r="T14" i="23"/>
  <c r="Z20" i="23"/>
  <c r="AA36" i="23"/>
  <c r="AA35" i="23"/>
  <c r="V30" i="23"/>
  <c r="V28" i="23"/>
  <c r="T12" i="23"/>
  <c r="O11" i="23"/>
  <c r="O13" i="23"/>
  <c r="J14" i="23"/>
  <c r="J12" i="23"/>
  <c r="O20" i="23"/>
  <c r="H12" i="23"/>
  <c r="B9" i="23"/>
  <c r="B11" i="23"/>
  <c r="D21" i="23" s="1"/>
  <c r="D9" i="23"/>
  <c r="P20" i="23" l="1"/>
  <c r="C9" i="23"/>
  <c r="E24" i="23"/>
  <c r="E20" i="23"/>
  <c r="I14" i="23"/>
  <c r="Z19" i="23"/>
  <c r="AC19" i="23" s="1"/>
  <c r="Z35" i="23"/>
  <c r="AC35" i="23" s="1"/>
  <c r="Z36" i="23"/>
  <c r="AC36" i="23" s="1"/>
  <c r="AA23" i="23"/>
  <c r="Z23" i="23" s="1"/>
  <c r="AC23" i="23" s="1"/>
  <c r="AA27" i="23"/>
  <c r="Z27" i="23" s="1"/>
  <c r="AC27" i="23" s="1"/>
  <c r="AA31" i="23"/>
  <c r="Z31" i="23" s="1"/>
  <c r="AC31" i="23" s="1"/>
  <c r="AA20" i="23"/>
  <c r="AC20" i="23" s="1"/>
  <c r="C11" i="23"/>
  <c r="E21" i="23" s="1"/>
  <c r="E29" i="23" s="1"/>
  <c r="D29" i="23" s="1"/>
  <c r="E37" i="23"/>
  <c r="D37" i="23" s="1"/>
  <c r="D36" i="23"/>
  <c r="E36" i="23" s="1"/>
  <c r="D32" i="23"/>
  <c r="E32" i="23" s="1"/>
  <c r="D28" i="23"/>
  <c r="E28" i="23" s="1"/>
  <c r="D24" i="23"/>
  <c r="D20" i="23"/>
  <c r="O19" i="23"/>
  <c r="AA32" i="23" l="1"/>
  <c r="Z32" i="23" s="1"/>
  <c r="AC32" i="23" s="1"/>
  <c r="AA28" i="23"/>
  <c r="Z28" i="23" s="1"/>
  <c r="AC28" i="23" s="1"/>
  <c r="AA24" i="23"/>
  <c r="Z24" i="23" s="1"/>
  <c r="AC24" i="23" s="1"/>
  <c r="E33" i="23"/>
  <c r="D33" i="23" s="1"/>
  <c r="E25" i="23"/>
  <c r="D25" i="23" s="1"/>
  <c r="K31" i="24"/>
  <c r="K29" i="24"/>
  <c r="D35" i="24"/>
  <c r="C35" i="24"/>
  <c r="C36" i="24" s="1"/>
  <c r="D36" i="24"/>
  <c r="U43" i="23" l="1"/>
  <c r="U51" i="23" s="1"/>
  <c r="P36" i="23"/>
  <c r="O36" i="23" s="1"/>
  <c r="P35" i="23"/>
  <c r="O35" i="23" s="1"/>
  <c r="P31" i="23"/>
  <c r="O31" i="23" s="1"/>
  <c r="P27" i="23"/>
  <c r="O27" i="23" s="1"/>
  <c r="P23" i="23"/>
  <c r="O23" i="23" s="1"/>
  <c r="P19" i="23"/>
  <c r="I12" i="23"/>
  <c r="U45" i="23" l="1"/>
  <c r="U49" i="23"/>
  <c r="U53" i="23"/>
  <c r="U47" i="23"/>
  <c r="P28" i="23"/>
  <c r="O28" i="23" s="1"/>
  <c r="P32" i="23"/>
  <c r="O32" i="23" s="1"/>
  <c r="P24" i="23"/>
  <c r="O24" i="23" s="1"/>
  <c r="C32" i="19"/>
  <c r="G32" i="19" s="1"/>
  <c r="P22" i="21" l="1"/>
  <c r="P18" i="21"/>
  <c r="R12" i="20"/>
  <c r="R10" i="20"/>
  <c r="R12" i="21"/>
  <c r="R10" i="21"/>
  <c r="P22" i="20"/>
  <c r="O18" i="20"/>
  <c r="O19" i="20"/>
  <c r="P19" i="20" s="1"/>
  <c r="P23" i="20" s="1"/>
  <c r="O23" i="20" s="1"/>
  <c r="O22" i="20"/>
  <c r="P34" i="21" l="1"/>
  <c r="O34" i="21" s="1"/>
  <c r="P35" i="21"/>
  <c r="O35" i="21" s="1"/>
  <c r="P30" i="21"/>
  <c r="O30" i="21" s="1"/>
  <c r="P26" i="21"/>
  <c r="O26" i="21" s="1"/>
  <c r="R26" i="21" s="1"/>
  <c r="O22" i="21"/>
  <c r="R22" i="21" s="1"/>
  <c r="O19" i="21"/>
  <c r="O18" i="21"/>
  <c r="P18" i="20"/>
  <c r="O34" i="20"/>
  <c r="O30" i="20"/>
  <c r="P34" i="20"/>
  <c r="P30" i="20"/>
  <c r="O26" i="20"/>
  <c r="P26" i="20"/>
  <c r="R22" i="20"/>
  <c r="O35" i="20"/>
  <c r="R35" i="20" s="1"/>
  <c r="P35" i="20"/>
  <c r="P27" i="20"/>
  <c r="O27" i="20" s="1"/>
  <c r="R27" i="20" s="1"/>
  <c r="U34" i="20" l="1"/>
  <c r="U30" i="20"/>
  <c r="U26" i="20"/>
  <c r="U22" i="20"/>
  <c r="R18" i="21"/>
  <c r="P19" i="21"/>
  <c r="P23" i="21" s="1"/>
  <c r="R30" i="21"/>
  <c r="R26" i="20"/>
  <c r="R30" i="20"/>
  <c r="R34" i="20"/>
  <c r="R18" i="20"/>
  <c r="R19" i="20"/>
  <c r="R23" i="20"/>
  <c r="R34" i="21"/>
  <c r="R35" i="21"/>
  <c r="P31" i="20"/>
  <c r="O31" i="20" s="1"/>
  <c r="R31" i="20" s="1"/>
  <c r="C10" i="20"/>
  <c r="B10" i="20"/>
  <c r="P27" i="21" l="1"/>
  <c r="O27" i="21" s="1"/>
  <c r="R27" i="21" s="1"/>
  <c r="P31" i="21"/>
  <c r="O23" i="21"/>
  <c r="R23" i="21" s="1"/>
  <c r="R19" i="21"/>
  <c r="O31" i="21" l="1"/>
  <c r="R31" i="21" s="1"/>
  <c r="G28" i="5" l="1"/>
  <c r="C28" i="5"/>
  <c r="G27" i="5"/>
  <c r="G26" i="5"/>
  <c r="C26" i="5"/>
  <c r="G25" i="5"/>
  <c r="C25" i="5"/>
  <c r="G34" i="8"/>
  <c r="C34" i="8"/>
  <c r="G33" i="8"/>
  <c r="G32" i="8"/>
  <c r="C32" i="8"/>
  <c r="G31" i="8"/>
  <c r="C31" i="8"/>
  <c r="C24" i="8"/>
  <c r="E24" i="8"/>
  <c r="C26" i="8"/>
  <c r="E26" i="8"/>
  <c r="B12" i="20" l="1"/>
  <c r="C12" i="20" s="1"/>
  <c r="H12" i="20"/>
  <c r="I12" i="20" s="1"/>
  <c r="H10" i="20"/>
  <c r="I10" i="20" s="1"/>
  <c r="H12" i="21"/>
  <c r="I12" i="21" s="1"/>
  <c r="H10" i="21"/>
  <c r="I10" i="21" s="1"/>
  <c r="B12" i="21"/>
  <c r="C12" i="21" s="1"/>
  <c r="B10" i="21"/>
  <c r="C10" i="21" s="1"/>
  <c r="P12" i="21"/>
  <c r="K12" i="21"/>
  <c r="E12" i="21"/>
  <c r="P10" i="21"/>
  <c r="E10" i="21"/>
  <c r="P12" i="20"/>
  <c r="P10" i="20"/>
  <c r="K12" i="20"/>
  <c r="K10" i="20"/>
  <c r="E12" i="20"/>
  <c r="E10" i="20"/>
  <c r="N15" i="18"/>
  <c r="I15" i="18"/>
  <c r="H15" i="18"/>
  <c r="H23" i="18" s="1"/>
  <c r="I29" i="18" l="1"/>
  <c r="I25" i="18"/>
  <c r="H27" i="18"/>
  <c r="I27" i="18"/>
  <c r="H25" i="18"/>
  <c r="H29" i="18"/>
  <c r="I23" i="18"/>
  <c r="D15" i="18"/>
  <c r="N29" i="18"/>
  <c r="N27" i="18"/>
  <c r="N25" i="18"/>
  <c r="N23" i="18"/>
  <c r="N21" i="18"/>
  <c r="E16" i="19"/>
  <c r="G16" i="19" s="1"/>
  <c r="E14" i="19"/>
  <c r="G14" i="19" s="1"/>
  <c r="C9" i="19"/>
  <c r="C7" i="19"/>
  <c r="C6" i="19"/>
  <c r="G9" i="19"/>
  <c r="G8" i="19"/>
  <c r="G7" i="19"/>
  <c r="G6" i="19"/>
  <c r="C15" i="18" l="1"/>
  <c r="G22" i="15" l="1"/>
  <c r="E24" i="4"/>
  <c r="E26" i="4"/>
  <c r="G24" i="15" l="1"/>
  <c r="C24" i="15"/>
  <c r="C22" i="15"/>
  <c r="G24" i="6" l="1"/>
  <c r="C24" i="6"/>
  <c r="G22" i="6"/>
  <c r="C22" i="6"/>
  <c r="C20" i="5"/>
  <c r="E20" i="5"/>
  <c r="C18" i="5"/>
  <c r="E18" i="5"/>
  <c r="C26" i="4"/>
  <c r="C24" i="4"/>
  <c r="K10" i="21" l="1"/>
</calcChain>
</file>

<file path=xl/sharedStrings.xml><?xml version="1.0" encoding="utf-8"?>
<sst xmlns="http://schemas.openxmlformats.org/spreadsheetml/2006/main" count="1386" uniqueCount="252">
  <si>
    <t>Before</t>
  </si>
  <si>
    <t>After</t>
  </si>
  <si>
    <t>Single</t>
  </si>
  <si>
    <t>Family</t>
  </si>
  <si>
    <t>Option</t>
  </si>
  <si>
    <t>Per Pay Period</t>
  </si>
  <si>
    <t>Benefit</t>
  </si>
  <si>
    <t>Deduct</t>
  </si>
  <si>
    <t>ST. CROIX CENTRAL SCHOOL DISTRICT</t>
  </si>
  <si>
    <t>BENEFITS:</t>
  </si>
  <si>
    <t>Health</t>
  </si>
  <si>
    <t>Dental</t>
  </si>
  <si>
    <t>does not qualify</t>
  </si>
  <si>
    <t>Vision</t>
  </si>
  <si>
    <t>Long Term Disability</t>
  </si>
  <si>
    <t>100% employer paid</t>
  </si>
  <si>
    <t>LEAVE DAYS:</t>
  </si>
  <si>
    <t>10 days</t>
  </si>
  <si>
    <t>Sick</t>
  </si>
  <si>
    <t>Personal</t>
  </si>
  <si>
    <t>BUSDRIVER - NON -UNION</t>
  </si>
  <si>
    <t>**Based on 5 routes and 1 extra trip per week</t>
  </si>
  <si>
    <t>CUSTODIAN - UNION</t>
  </si>
  <si>
    <t>** Base on 8 hours/day</t>
  </si>
  <si>
    <t>Divide 24</t>
  </si>
  <si>
    <t>Month</t>
  </si>
  <si>
    <t>Year</t>
  </si>
  <si>
    <t>TEACHING STAFF - UNION</t>
  </si>
  <si>
    <t>2 days</t>
  </si>
  <si>
    <t>Days</t>
  </si>
  <si>
    <t xml:space="preserve">** Base on 2080 hours/year  </t>
  </si>
  <si>
    <t>Experience in years</t>
  </si>
  <si>
    <t>Leave</t>
  </si>
  <si>
    <t>Holidays</t>
  </si>
  <si>
    <t>0-1</t>
  </si>
  <si>
    <t>13-17</t>
  </si>
  <si>
    <t>3-7</t>
  </si>
  <si>
    <t>8-12</t>
  </si>
  <si>
    <t>18-22</t>
  </si>
  <si>
    <t>23-27</t>
  </si>
  <si>
    <t>28 or more</t>
  </si>
  <si>
    <t xml:space="preserve">100% employer paid </t>
  </si>
  <si>
    <t>100% employer paid (minimum of 20 hr/week)</t>
  </si>
  <si>
    <t>** Base on 1.0 FTE</t>
  </si>
  <si>
    <t xml:space="preserve">100% employer paid (minimum of 20 hr/week) </t>
  </si>
  <si>
    <t>Retirement -WRS</t>
  </si>
  <si>
    <t>100% employer paid (Pro-rated)</t>
  </si>
  <si>
    <t>Accumulation</t>
  </si>
  <si>
    <t>120 days</t>
  </si>
  <si>
    <t>5 days</t>
  </si>
  <si>
    <t>8 or more</t>
  </si>
  <si>
    <t>VACATION:</t>
  </si>
  <si>
    <t>2-9</t>
  </si>
  <si>
    <t>10+</t>
  </si>
  <si>
    <t>Years of Experience</t>
  </si>
  <si>
    <t>Head Cook</t>
  </si>
  <si>
    <t>Asst. 1</t>
  </si>
  <si>
    <t>Asst. 2</t>
  </si>
  <si>
    <t>Master Route</t>
  </si>
  <si>
    <t>Kdg. Route</t>
  </si>
  <si>
    <t>Retirement-WRS</t>
  </si>
  <si>
    <t>Retirement- WRS</t>
  </si>
  <si>
    <t>9 Month Secretary</t>
  </si>
  <si>
    <t>Nurse</t>
  </si>
  <si>
    <t>12 Month  Secretary/Head Secretary</t>
  </si>
  <si>
    <t>Secretary</t>
  </si>
  <si>
    <t>ADMINISTRATION</t>
  </si>
  <si>
    <t>Elementary Principal</t>
  </si>
  <si>
    <t>Middle School Principal</t>
  </si>
  <si>
    <t>High School Principal</t>
  </si>
  <si>
    <t>Director of Student Services</t>
  </si>
  <si>
    <t>Salary</t>
  </si>
  <si>
    <t>150 days</t>
  </si>
  <si>
    <t>Length of Contract</t>
  </si>
  <si>
    <t>Within District</t>
  </si>
  <si>
    <t>Outside District</t>
  </si>
  <si>
    <t>$0.40/mile</t>
  </si>
  <si>
    <t>Mileage:</t>
  </si>
  <si>
    <t>3 days</t>
  </si>
  <si>
    <t>Life</t>
  </si>
  <si>
    <t>221 days</t>
  </si>
  <si>
    <t>Tax Sheltered Annuity:</t>
  </si>
  <si>
    <t>$2,100.00/year</t>
  </si>
  <si>
    <t>Deduction</t>
  </si>
  <si>
    <t>100% employer paid (Pro-rated if less than full time)</t>
  </si>
  <si>
    <t>9 Month  Secretary</t>
  </si>
  <si>
    <t>COOK - NON - UNION</t>
  </si>
  <si>
    <t>SCC Community Education Director</t>
  </si>
  <si>
    <t>Per Hour</t>
  </si>
  <si>
    <t>5 days at the completion of 1st year, 10 days at the completion of 2 years, 12 days at the completion of 5 years and 15 days at the completion of 7 years and 17 days after the completion of 15 years in proportion up to 2,080 hours per year.</t>
  </si>
  <si>
    <t>Personal Days</t>
  </si>
  <si>
    <t>Sick Leave</t>
  </si>
  <si>
    <t>Accumulated</t>
  </si>
  <si>
    <t>Vacation</t>
  </si>
  <si>
    <t>1st Year</t>
  </si>
  <si>
    <t>After 1</t>
  </si>
  <si>
    <t>After 2</t>
  </si>
  <si>
    <t>After 5</t>
  </si>
  <si>
    <t>After 7</t>
  </si>
  <si>
    <t>After 8</t>
  </si>
  <si>
    <t>After 15</t>
  </si>
  <si>
    <t>12 Month Bookkeeper</t>
  </si>
  <si>
    <t>Bookkeeper</t>
  </si>
  <si>
    <t>Director of Teaching and Learning</t>
  </si>
  <si>
    <t>$150.00/ month</t>
  </si>
  <si>
    <t>SCC Virtual School Coordinator</t>
  </si>
  <si>
    <t xml:space="preserve">4 Hr/Day </t>
  </si>
  <si>
    <t xml:space="preserve">7.25 - 8 Hr/Day </t>
  </si>
  <si>
    <t xml:space="preserve">6.25 - 7 Hr/Day </t>
  </si>
  <si>
    <t xml:space="preserve">4.25 - 5 Hr/Day </t>
  </si>
  <si>
    <t xml:space="preserve">5.25 - 6 Hr/Day </t>
  </si>
  <si>
    <t>(3 hours)</t>
  </si>
  <si>
    <r>
      <t xml:space="preserve">100% employer paid- equal </t>
    </r>
    <r>
      <rPr>
        <sz val="10"/>
        <rFont val="Arial"/>
        <family val="2"/>
      </rPr>
      <t>to 1X salary(minimum of 15 hr/week)</t>
    </r>
  </si>
  <si>
    <t>100% employer paid - equal to 1X salary(minimum of 15 hrs/wk)</t>
  </si>
  <si>
    <t>100% employer paid - equal to 1X salary (minimum of 15 hrs/week)</t>
  </si>
  <si>
    <t xml:space="preserve">SALARY: </t>
  </si>
  <si>
    <t>Paid on the monthly special payroll</t>
  </si>
  <si>
    <t>100% employer paid - equal to 1X salary(minimum of 15 hr/wk)</t>
  </si>
  <si>
    <t>(minimum of 20 hr/week)</t>
  </si>
  <si>
    <t xml:space="preserve">PARAPROFESSIONAL/HOUSEKEEPER </t>
  </si>
  <si>
    <t>Cash In Lieu of Health Insurance</t>
  </si>
  <si>
    <t>Monthly</t>
  </si>
  <si>
    <t>Prorated Amounts</t>
  </si>
  <si>
    <t>8 Hours Per Day</t>
  </si>
  <si>
    <t>Employee Only</t>
  </si>
  <si>
    <t>Employee and Spouse</t>
  </si>
  <si>
    <t>Employee and Children</t>
  </si>
  <si>
    <t>Full Family</t>
  </si>
  <si>
    <t>Vision-EPIC</t>
  </si>
  <si>
    <t>Dental-WEA</t>
  </si>
  <si>
    <t>Employee</t>
  </si>
  <si>
    <t>Employer</t>
  </si>
  <si>
    <t>Total</t>
  </si>
  <si>
    <t xml:space="preserve">12-Month Staff, 9-Month Secretaries, Cooks, </t>
  </si>
  <si>
    <t>Option amount is based on contract FTE. For example .75 FTE is 75% of start date amount listed above.</t>
  </si>
  <si>
    <t>Employee must be covered by spouse's group health insurance plan and provide proof of insurance.</t>
  </si>
  <si>
    <t xml:space="preserve"> Medica $1,500/ $3,000 Deductible Plan </t>
  </si>
  <si>
    <t>24 Pay Periods</t>
  </si>
  <si>
    <t xml:space="preserve">Health insurance benefit is based on contract FTE. </t>
  </si>
  <si>
    <t xml:space="preserve"> Medica $250/ $500 Deductible Plan </t>
  </si>
  <si>
    <t>Prorated Amounts Per Pay Period</t>
  </si>
  <si>
    <t>Dues: Support Staff</t>
  </si>
  <si>
    <t>Dues: Teachers</t>
  </si>
  <si>
    <t>Health insurance benefit is based on contract FTE.</t>
  </si>
  <si>
    <t>Health Savings Account</t>
  </si>
  <si>
    <t>Credit Union or Associated Bank.</t>
  </si>
  <si>
    <t xml:space="preserve">HSA benefit amount will be deposited each </t>
  </si>
  <si>
    <t>HSA Benefit $1,250/$2,500</t>
  </si>
  <si>
    <t>Insurance contract renews on January 1st</t>
  </si>
  <si>
    <t>Insurance contract renews on July 1st</t>
  </si>
  <si>
    <t>Life Insurance</t>
  </si>
  <si>
    <t xml:space="preserve">see chart </t>
  </si>
  <si>
    <t>see chart</t>
  </si>
  <si>
    <t>4K Route</t>
  </si>
  <si>
    <t>See chart  (Pro-rated if less than full time)</t>
  </si>
  <si>
    <t>93.4% employer paid - See chart (Pro-rated if less than full time)</t>
  </si>
  <si>
    <t>Head Nurse</t>
  </si>
  <si>
    <t>44/56%</t>
  </si>
  <si>
    <t>Paraprofessionals/Custodians/9-Month Sec.</t>
  </si>
  <si>
    <t>pay period into a HSA account at Westconsin</t>
  </si>
  <si>
    <t>6.65% employee paid and 6.65% employer paid - must be at least 880 hrs/year</t>
  </si>
  <si>
    <t>6.65% employee paid and 6.65% employer paid-must be at least 880 hrs/year</t>
  </si>
  <si>
    <t>6.65% employee paid and 6.65% employer paid- must be at least 880 hr/yr</t>
  </si>
  <si>
    <t>6.65% employere paid and 6.65% employer paid- must be at least 880 hrs/yr</t>
  </si>
  <si>
    <t>2013-14</t>
  </si>
  <si>
    <t>Life Insurance is $0.36 per $1,000 of coverage</t>
  </si>
  <si>
    <t xml:space="preserve">In May, sent the Union Dues Directive to the teaching staff - individually will decide if </t>
  </si>
  <si>
    <t>they want payroll deduction of dues. Will send all responses to Ruth Evenson at WCEA.</t>
  </si>
  <si>
    <t>No union at this time. Decertified in the 2012-13 school year.</t>
  </si>
  <si>
    <t>Extra Hours/hr</t>
  </si>
  <si>
    <t>Activity Director/Dean of Students</t>
  </si>
  <si>
    <t>210 days</t>
  </si>
  <si>
    <t xml:space="preserve">6.65% employee paid and 6.65% employer paid- must be at least 880 hrs/year  </t>
  </si>
  <si>
    <r>
      <rPr>
        <sz val="11"/>
        <color theme="1"/>
        <rFont val="Calibri"/>
        <family val="2"/>
      </rPr>
      <t>•All classes taken</t>
    </r>
    <r>
      <rPr>
        <sz val="11"/>
        <color theme="1"/>
        <rFont val="Calibri"/>
        <family val="2"/>
        <scheme val="minor"/>
      </rPr>
      <t xml:space="preserve"> to move across the salary schedule must be completed before September 1, 2013.</t>
    </r>
  </si>
  <si>
    <r>
      <t xml:space="preserve">SALARY: </t>
    </r>
    <r>
      <rPr>
        <sz val="10.5"/>
        <color indexed="8"/>
        <rFont val="Arial"/>
        <family val="2"/>
      </rPr>
      <t>Per hour</t>
    </r>
  </si>
  <si>
    <r>
      <t xml:space="preserve">100% employer paid- equal </t>
    </r>
    <r>
      <rPr>
        <sz val="10.5"/>
        <rFont val="Arial"/>
        <family val="2"/>
      </rPr>
      <t>to 1X salary(minimum of 15 hr/week)</t>
    </r>
  </si>
  <si>
    <r>
      <t xml:space="preserve">SALARY: </t>
    </r>
    <r>
      <rPr>
        <sz val="10.5"/>
        <color indexed="8"/>
        <rFont val="Arial"/>
        <family val="2"/>
      </rPr>
      <t>Daily Rate</t>
    </r>
  </si>
  <si>
    <r>
      <t xml:space="preserve">SALARY: </t>
    </r>
    <r>
      <rPr>
        <sz val="10.5"/>
        <color indexed="8"/>
        <rFont val="Arial"/>
        <family val="2"/>
      </rPr>
      <t>(Paid on the monthly special payroll)</t>
    </r>
  </si>
  <si>
    <t>6.65% employee paid and 6.65% employer paid- must be at least 880 hrs/yr</t>
  </si>
  <si>
    <t>50% better</t>
  </si>
  <si>
    <t>50% is better</t>
  </si>
  <si>
    <t>It was 60% of a family in 2010-11 minus the 6.6%</t>
  </si>
  <si>
    <t>In 2012 it changed to 44 and 56%</t>
  </si>
  <si>
    <t>Retirement: 1/1/14-12/31/2014</t>
  </si>
  <si>
    <t xml:space="preserve">LTD is $0.24 per $100 of monthly covered salary. </t>
  </si>
  <si>
    <t>STD is $0.67 per $10 of monthly covered salary.</t>
  </si>
  <si>
    <t>Cooks/Bus Drivers/Nurse - 24 Pay Periods</t>
  </si>
  <si>
    <t>12-Month Staff, Custodians - 24 Pay Periods</t>
  </si>
  <si>
    <t>Administration, Teachers - 24 Pay Periods</t>
  </si>
  <si>
    <r>
      <t xml:space="preserve">2014 Health Insurance Pro-ration  - </t>
    </r>
    <r>
      <rPr>
        <b/>
        <sz val="12"/>
        <color rgb="FFFF0000"/>
        <rFont val="Arial"/>
        <family val="2"/>
      </rPr>
      <t xml:space="preserve"> Based on 24 Pay Periods</t>
    </r>
  </si>
  <si>
    <r>
      <t xml:space="preserve">2014 Health Insurance Pro-ration - </t>
    </r>
    <r>
      <rPr>
        <b/>
        <sz val="12"/>
        <color rgb="FFFF0000"/>
        <rFont val="Arial"/>
        <family val="2"/>
      </rPr>
      <t>Based on 24 Pay Periods</t>
    </r>
  </si>
  <si>
    <r>
      <t xml:space="preserve">2014 Option Pro-ration - </t>
    </r>
    <r>
      <rPr>
        <b/>
        <sz val="12"/>
        <color rgb="FFFF0000"/>
        <rFont val="Arial"/>
        <family val="2"/>
      </rPr>
      <t>Based on 24 Pay Periods</t>
    </r>
  </si>
  <si>
    <t>Nurse, Bus Drivers - 24 Pay Periods</t>
  </si>
  <si>
    <t>Paraprofessionals/Custodians - 24 Pay Periods</t>
  </si>
  <si>
    <t>insurance.</t>
  </si>
  <si>
    <t xml:space="preserve">Employee must be covered by spouse's group </t>
  </si>
  <si>
    <t>Prorated 12 Month Staff - 24 Pay Periods</t>
  </si>
  <si>
    <t>12-Month Staff - 24 Pay Periods</t>
  </si>
  <si>
    <t>Custodians - 24 Pay Periods</t>
  </si>
  <si>
    <t>8 Hrs Per Day</t>
  </si>
  <si>
    <t>Administration, Teachers - 20 Pay Periods</t>
  </si>
  <si>
    <t>20 Pay Periods</t>
  </si>
  <si>
    <t>Yearly</t>
  </si>
  <si>
    <t xml:space="preserve">HSA benefit amount will be deposited each pay period into a </t>
  </si>
  <si>
    <t xml:space="preserve"> HSA account at Westconsin Credit Union or Associated Bank.</t>
  </si>
  <si>
    <t>Monthly (10 mo.)</t>
  </si>
  <si>
    <t xml:space="preserve"> </t>
  </si>
  <si>
    <t xml:space="preserve"> Medica $2,600/$5,200 Deductible Plan </t>
  </si>
  <si>
    <t>HSA Benefit $1,402.97/$2,846.89</t>
  </si>
  <si>
    <r>
      <t xml:space="preserve">2015 Health Insurance Pro-ration  - </t>
    </r>
    <r>
      <rPr>
        <b/>
        <sz val="12"/>
        <color rgb="FFFF0000"/>
        <rFont val="Arial"/>
        <family val="2"/>
      </rPr>
      <t xml:space="preserve"> Based on 24 Pay Periods</t>
    </r>
  </si>
  <si>
    <t>We Don't Use % on Family due to it not being 50% -2015</t>
  </si>
  <si>
    <t>health insurance plan and provide proof of</t>
  </si>
  <si>
    <r>
      <t xml:space="preserve">2015 Health Insurance Pro-ration  - </t>
    </r>
    <r>
      <rPr>
        <b/>
        <sz val="12"/>
        <color rgb="FFFF0000"/>
        <rFont val="Arial"/>
        <family val="2"/>
      </rPr>
      <t xml:space="preserve"> Based on 20 Pay Periods</t>
    </r>
  </si>
  <si>
    <t>Monthly (12 mo.)</t>
  </si>
  <si>
    <r>
      <t xml:space="preserve">2015 Health Insurance Pro-ration  - </t>
    </r>
    <r>
      <rPr>
        <b/>
        <sz val="12"/>
        <color rgb="FFFF0000"/>
        <rFont val="Arial"/>
        <family val="2"/>
      </rPr>
      <t xml:space="preserve"> Based on 19 Pay Periods</t>
    </r>
  </si>
  <si>
    <t>19 Pay Periods</t>
  </si>
  <si>
    <t>Deduct/Pay Period</t>
  </si>
  <si>
    <t>7.25 - 8 hrs/day</t>
  </si>
  <si>
    <t>6.25 -7 hrs/day</t>
  </si>
  <si>
    <t>5.25 - 6 hrs/day</t>
  </si>
  <si>
    <t>4.25 - 5 hrs/day</t>
  </si>
  <si>
    <t>4 hrs/day</t>
  </si>
  <si>
    <t>Medica $250/$500 Deductible Plan</t>
  </si>
  <si>
    <t>School Year Employee</t>
  </si>
  <si>
    <t>Medica $1,500/$3,000 Deductible Plan</t>
  </si>
  <si>
    <t>Cash in Lieu of Health Insurance</t>
  </si>
  <si>
    <t>9-Month Secretaries, Cooks, Nurses                &amp; Bus Drivers</t>
  </si>
  <si>
    <t>Based on 19 Pay Periods</t>
  </si>
  <si>
    <t>BEFORE</t>
  </si>
  <si>
    <t>AFTER</t>
  </si>
  <si>
    <t>7.25-8 hrs/Day</t>
  </si>
  <si>
    <t>6.25-7 hrs/Day</t>
  </si>
  <si>
    <t>5.25-6 hrs/Day</t>
  </si>
  <si>
    <t>4.25-5 hrs/Day</t>
  </si>
  <si>
    <t>4 hrs/Day</t>
  </si>
  <si>
    <t>Deduct/        Pay Period</t>
  </si>
  <si>
    <t xml:space="preserve">Paraprofessionals/Custodians                                                                                                                  </t>
  </si>
  <si>
    <t>Deduct/ Pay Period</t>
  </si>
  <si>
    <t>Benefit/ Pay Period</t>
  </si>
  <si>
    <t>Benefit/        Pay    Period</t>
  </si>
  <si>
    <t>HSA benefit amount will be deposited each pay period into an HSA account at Westconsin Credit Union or Associated Bank.</t>
  </si>
  <si>
    <t xml:space="preserve"> Medica $2,000/ $4,000 Deductible Plan </t>
  </si>
  <si>
    <t>HSA Benefit $1,650/$3,300</t>
  </si>
  <si>
    <t xml:space="preserve"> Medica $3,500/$7,000 Deductible Plan </t>
  </si>
  <si>
    <t>Medica $2,000/$4,000 Deductible Plan</t>
  </si>
  <si>
    <t>9-Month Secretaries, Cooks, Nurses &amp; Bus Drivers</t>
  </si>
  <si>
    <t>2017 Health Insurance Pro-ration  -  Based on 24 Pay Periods</t>
  </si>
  <si>
    <t>HSA Benefit $2,048.59/$4,203.86</t>
  </si>
  <si>
    <r>
      <t xml:space="preserve">2017 Health Insurance Pro-ration  - </t>
    </r>
    <r>
      <rPr>
        <b/>
        <sz val="12"/>
        <color rgb="FFFF0000"/>
        <rFont val="Arial"/>
        <family val="2"/>
      </rPr>
      <t xml:space="preserve"> Based on 20 Pay Periods</t>
    </r>
  </si>
  <si>
    <r>
      <t xml:space="preserve">2017 Health Insurance Pro-ration  - </t>
    </r>
    <r>
      <rPr>
        <b/>
        <sz val="12"/>
        <color rgb="FFFF0000"/>
        <rFont val="Arial"/>
        <family val="2"/>
      </rPr>
      <t xml:space="preserve"> Based on 24 Pay Periods</t>
    </r>
  </si>
  <si>
    <r>
      <t xml:space="preserve">2017 Health Insurance Pro-ration  - </t>
    </r>
    <r>
      <rPr>
        <b/>
        <sz val="12"/>
        <color rgb="FFFF0000"/>
        <rFont val="Arial"/>
        <family val="2"/>
      </rPr>
      <t xml:space="preserve"> Based on 19 Pay Periods</t>
    </r>
  </si>
  <si>
    <t>HSA Benefit $2,048.59/$4203.86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</si>
</sst>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.5"/>
      <color indexed="8"/>
      <name val="Arial"/>
      <family val="2"/>
    </font>
    <font>
      <sz val="4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u/>
      <sz val="10.5"/>
      <color indexed="8"/>
      <name val="Arial"/>
      <family val="2"/>
    </font>
    <font>
      <sz val="10.5"/>
      <color indexed="8"/>
      <name val="Arial"/>
      <family val="2"/>
    </font>
    <font>
      <sz val="10.5"/>
      <color indexed="8"/>
      <name val="Calibri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b/>
      <u/>
      <sz val="10.5"/>
      <name val="Arial"/>
      <family val="2"/>
    </font>
    <font>
      <b/>
      <sz val="10.5"/>
      <color indexed="8"/>
      <name val="Arial"/>
      <family val="2"/>
    </font>
    <font>
      <b/>
      <sz val="10.5"/>
      <name val="Arial"/>
      <family val="2"/>
    </font>
    <font>
      <b/>
      <sz val="10.5"/>
      <color indexed="8"/>
      <name val="Calibri"/>
      <family val="2"/>
    </font>
    <font>
      <sz val="10.5"/>
      <color theme="1"/>
      <name val="Arial"/>
      <family val="2"/>
    </font>
    <font>
      <i/>
      <sz val="10.5"/>
      <name val="Arial"/>
      <family val="2"/>
    </font>
    <font>
      <sz val="10.5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49" fillId="0" borderId="0" applyFont="0" applyFill="0" applyBorder="0" applyAlignment="0" applyProtection="0"/>
  </cellStyleXfs>
  <cellXfs count="1047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2" fontId="5" fillId="0" borderId="0" xfId="1" applyNumberFormat="1" applyFont="1"/>
    <xf numFmtId="0" fontId="5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2" fontId="1" fillId="0" borderId="0" xfId="1" applyNumberFormat="1" applyAlignment="1">
      <alignment horizontal="right"/>
    </xf>
    <xf numFmtId="0" fontId="1" fillId="0" borderId="0" xfId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2" xfId="0" applyFont="1" applyBorder="1"/>
    <xf numFmtId="0" fontId="1" fillId="0" borderId="0" xfId="2"/>
    <xf numFmtId="2" fontId="1" fillId="0" borderId="0" xfId="2" applyNumberFormat="1"/>
    <xf numFmtId="0" fontId="2" fillId="0" borderId="0" xfId="2" applyFont="1"/>
    <xf numFmtId="0" fontId="5" fillId="0" borderId="0" xfId="2" applyFont="1"/>
    <xf numFmtId="0" fontId="2" fillId="0" borderId="0" xfId="2" applyFont="1" applyAlignment="1">
      <alignment horizontal="right"/>
    </xf>
    <xf numFmtId="0" fontId="5" fillId="0" borderId="0" xfId="3" applyBorder="1"/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5" fillId="0" borderId="3" xfId="3" applyBorder="1"/>
    <xf numFmtId="0" fontId="5" fillId="0" borderId="5" xfId="3" applyBorder="1"/>
    <xf numFmtId="0" fontId="5" fillId="0" borderId="6" xfId="3" applyBorder="1"/>
    <xf numFmtId="0" fontId="8" fillId="0" borderId="0" xfId="0" applyFont="1" applyBorder="1" applyAlignment="1">
      <alignment horizontal="center"/>
    </xf>
    <xf numFmtId="0" fontId="9" fillId="0" borderId="11" xfId="0" applyFont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11" xfId="1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1" fillId="0" borderId="0" xfId="1" applyFont="1" applyBorder="1"/>
    <xf numFmtId="0" fontId="1" fillId="0" borderId="0" xfId="1" applyNumberFormat="1" applyBorder="1"/>
    <xf numFmtId="4" fontId="1" fillId="0" borderId="0" xfId="2" applyNumberFormat="1" applyFill="1"/>
    <xf numFmtId="164" fontId="5" fillId="0" borderId="4" xfId="3" applyNumberFormat="1" applyBorder="1"/>
    <xf numFmtId="164" fontId="5" fillId="0" borderId="0" xfId="3" applyNumberForma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5" fillId="0" borderId="6" xfId="3" applyNumberFormat="1" applyBorder="1"/>
    <xf numFmtId="164" fontId="5" fillId="0" borderId="7" xfId="3" applyNumberFormat="1" applyBorder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2" applyFont="1"/>
    <xf numFmtId="0" fontId="0" fillId="0" borderId="0" xfId="0" applyAlignment="1">
      <alignment horizontal="right"/>
    </xf>
    <xf numFmtId="0" fontId="6" fillId="0" borderId="0" xfId="0" applyFont="1" applyFill="1" applyBorder="1"/>
    <xf numFmtId="0" fontId="5" fillId="0" borderId="0" xfId="0" applyFont="1" applyBorder="1"/>
    <xf numFmtId="0" fontId="3" fillId="0" borderId="0" xfId="0" applyFont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 applyFill="1"/>
    <xf numFmtId="2" fontId="5" fillId="0" borderId="0" xfId="0" applyNumberFormat="1" applyFont="1" applyFill="1"/>
    <xf numFmtId="0" fontId="15" fillId="0" borderId="0" xfId="0" applyFont="1"/>
    <xf numFmtId="0" fontId="16" fillId="0" borderId="0" xfId="0" applyFont="1"/>
    <xf numFmtId="2" fontId="15" fillId="0" borderId="0" xfId="0" applyNumberFormat="1" applyFont="1"/>
    <xf numFmtId="0" fontId="14" fillId="0" borderId="0" xfId="0" applyFont="1" applyBorder="1" applyAlignment="1"/>
    <xf numFmtId="0" fontId="4" fillId="0" borderId="0" xfId="2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4" fontId="0" fillId="0" borderId="0" xfId="0" applyNumberFormat="1"/>
    <xf numFmtId="0" fontId="0" fillId="0" borderId="0" xfId="0" applyFont="1"/>
    <xf numFmtId="0" fontId="19" fillId="0" borderId="0" xfId="0" applyFont="1"/>
    <xf numFmtId="4" fontId="5" fillId="0" borderId="0" xfId="0" applyNumberFormat="1" applyFont="1" applyFill="1"/>
    <xf numFmtId="2" fontId="1" fillId="0" borderId="0" xfId="2" applyNumberFormat="1" applyFill="1"/>
    <xf numFmtId="0" fontId="1" fillId="0" borderId="0" xfId="2" applyFill="1"/>
    <xf numFmtId="2" fontId="5" fillId="0" borderId="0" xfId="2" applyNumberFormat="1" applyFont="1" applyFill="1"/>
    <xf numFmtId="0" fontId="1" fillId="0" borderId="0" xfId="0" applyFont="1" applyFill="1" applyBorder="1"/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0" xfId="0" applyNumberFormat="1" applyFont="1" applyFill="1" applyBorder="1"/>
    <xf numFmtId="164" fontId="5" fillId="0" borderId="4" xfId="0" applyNumberFormat="1" applyFont="1" applyFill="1" applyBorder="1"/>
    <xf numFmtId="0" fontId="18" fillId="0" borderId="0" xfId="0" applyFont="1" applyAlignment="1">
      <alignment vertical="center"/>
    </xf>
    <xf numFmtId="0" fontId="17" fillId="0" borderId="0" xfId="0" applyFont="1" applyFill="1" applyBorder="1"/>
    <xf numFmtId="0" fontId="6" fillId="0" borderId="4" xfId="0" applyFont="1" applyFill="1" applyBorder="1"/>
    <xf numFmtId="0" fontId="2" fillId="0" borderId="0" xfId="2" applyFont="1" applyFill="1"/>
    <xf numFmtId="4" fontId="3" fillId="0" borderId="0" xfId="2" applyNumberFormat="1" applyFont="1" applyFill="1"/>
    <xf numFmtId="0" fontId="2" fillId="0" borderId="0" xfId="2" applyFont="1" applyFill="1" applyAlignment="1">
      <alignment horizontal="right"/>
    </xf>
    <xf numFmtId="0" fontId="5" fillId="0" borderId="0" xfId="2" applyFont="1" applyFill="1"/>
    <xf numFmtId="0" fontId="1" fillId="0" borderId="0" xfId="2" applyFont="1" applyFill="1"/>
    <xf numFmtId="2" fontId="1" fillId="0" borderId="0" xfId="2" applyNumberFormat="1" applyFill="1" applyAlignment="1">
      <alignment horizontal="right"/>
    </xf>
    <xf numFmtId="0" fontId="1" fillId="0" borderId="0" xfId="0" applyFont="1" applyBorder="1"/>
    <xf numFmtId="0" fontId="22" fillId="0" borderId="0" xfId="0" applyFont="1" applyAlignment="1">
      <alignment horizontal="center"/>
    </xf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1" fillId="0" borderId="3" xfId="0" applyFont="1" applyBorder="1"/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4" fontId="5" fillId="0" borderId="0" xfId="0" applyNumberFormat="1" applyFont="1" applyFill="1" applyBorder="1"/>
    <xf numFmtId="4" fontId="5" fillId="0" borderId="4" xfId="0" applyNumberFormat="1" applyFont="1" applyFill="1" applyBorder="1"/>
    <xf numFmtId="2" fontId="5" fillId="0" borderId="4" xfId="0" applyNumberFormat="1" applyFont="1" applyFill="1" applyBorder="1"/>
    <xf numFmtId="0" fontId="2" fillId="0" borderId="3" xfId="0" applyFont="1" applyBorder="1"/>
    <xf numFmtId="0" fontId="15" fillId="0" borderId="0" xfId="0" applyFont="1" applyBorder="1"/>
    <xf numFmtId="0" fontId="2" fillId="0" borderId="4" xfId="0" applyFont="1" applyBorder="1" applyAlignment="1">
      <alignment horizontal="right"/>
    </xf>
    <xf numFmtId="0" fontId="5" fillId="0" borderId="3" xfId="0" applyFont="1" applyFill="1" applyBorder="1"/>
    <xf numFmtId="0" fontId="5" fillId="0" borderId="0" xfId="0" applyFont="1" applyFill="1" applyBorder="1"/>
    <xf numFmtId="0" fontId="15" fillId="0" borderId="0" xfId="0" applyFont="1" applyFill="1" applyBorder="1"/>
    <xf numFmtId="0" fontId="15" fillId="0" borderId="3" xfId="0" applyFont="1" applyBorder="1"/>
    <xf numFmtId="2" fontId="15" fillId="0" borderId="4" xfId="0" applyNumberFormat="1" applyFont="1" applyBorder="1"/>
    <xf numFmtId="0" fontId="15" fillId="0" borderId="3" xfId="0" applyFont="1" applyFill="1" applyBorder="1"/>
    <xf numFmtId="2" fontId="15" fillId="0" borderId="4" xfId="0" applyNumberFormat="1" applyFont="1" applyFill="1" applyBorder="1"/>
    <xf numFmtId="0" fontId="2" fillId="0" borderId="3" xfId="0" applyFont="1" applyFill="1" applyBorder="1"/>
    <xf numFmtId="0" fontId="1" fillId="0" borderId="3" xfId="0" applyFont="1" applyFill="1" applyBorder="1"/>
    <xf numFmtId="2" fontId="5" fillId="0" borderId="4" xfId="0" applyNumberFormat="1" applyFont="1" applyFill="1" applyBorder="1" applyAlignment="1">
      <alignment horizontal="right"/>
    </xf>
    <xf numFmtId="2" fontId="15" fillId="0" borderId="4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15" fillId="0" borderId="6" xfId="0" applyFont="1" applyFill="1" applyBorder="1"/>
    <xf numFmtId="2" fontId="5" fillId="0" borderId="7" xfId="0" applyNumberFormat="1" applyFont="1" applyFill="1" applyBorder="1"/>
    <xf numFmtId="0" fontId="4" fillId="0" borderId="3" xfId="0" applyFont="1" applyBorder="1"/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4" xfId="0" applyNumberFormat="1" applyFont="1" applyFill="1" applyBorder="1"/>
    <xf numFmtId="0" fontId="2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5" xfId="0" applyFont="1" applyBorder="1"/>
    <xf numFmtId="0" fontId="5" fillId="0" borderId="6" xfId="0" applyFont="1" applyBorder="1"/>
    <xf numFmtId="4" fontId="5" fillId="0" borderId="6" xfId="0" applyNumberFormat="1" applyFont="1" applyFill="1" applyBorder="1"/>
    <xf numFmtId="4" fontId="2" fillId="0" borderId="3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2" fontId="5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4" fillId="0" borderId="3" xfId="0" applyFont="1" applyFill="1" applyBorder="1"/>
    <xf numFmtId="0" fontId="2" fillId="0" borderId="3" xfId="0" applyFont="1" applyFill="1" applyBorder="1" applyAlignment="1"/>
    <xf numFmtId="4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164" fontId="5" fillId="0" borderId="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/>
    <xf numFmtId="14" fontId="5" fillId="3" borderId="0" xfId="0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right"/>
    </xf>
    <xf numFmtId="14" fontId="5" fillId="4" borderId="0" xfId="0" applyNumberFormat="1" applyFont="1" applyFill="1" applyBorder="1" applyAlignment="1">
      <alignment horizontal="right"/>
    </xf>
    <xf numFmtId="14" fontId="5" fillId="4" borderId="4" xfId="0" applyNumberFormat="1" applyFont="1" applyFill="1" applyBorder="1" applyAlignment="1">
      <alignment horizontal="right"/>
    </xf>
    <xf numFmtId="0" fontId="22" fillId="0" borderId="0" xfId="0" applyFont="1"/>
    <xf numFmtId="2" fontId="23" fillId="0" borderId="0" xfId="0" applyNumberFormat="1" applyFont="1"/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right"/>
    </xf>
    <xf numFmtId="0" fontId="5" fillId="0" borderId="6" xfId="0" applyFont="1" applyFill="1" applyBorder="1"/>
    <xf numFmtId="0" fontId="2" fillId="0" borderId="0" xfId="0" applyFont="1" applyFill="1" applyBorder="1" applyAlignment="1"/>
    <xf numFmtId="0" fontId="32" fillId="0" borderId="0" xfId="0" applyFont="1" applyBorder="1" applyAlignment="1"/>
    <xf numFmtId="0" fontId="33" fillId="0" borderId="0" xfId="0" applyFont="1" applyBorder="1" applyAlignment="1"/>
    <xf numFmtId="0" fontId="34" fillId="0" borderId="0" xfId="0" applyFont="1"/>
    <xf numFmtId="0" fontId="1" fillId="0" borderId="0" xfId="1" applyFill="1" applyBorder="1"/>
    <xf numFmtId="2" fontId="1" fillId="0" borderId="0" xfId="1" applyNumberFormat="1" applyFill="1" applyBorder="1"/>
    <xf numFmtId="0" fontId="2" fillId="0" borderId="0" xfId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1" applyFill="1" applyBorder="1" applyAlignment="1">
      <alignment horizontal="right"/>
    </xf>
    <xf numFmtId="2" fontId="5" fillId="0" borderId="0" xfId="1" applyNumberFormat="1" applyFont="1" applyFill="1" applyBorder="1"/>
    <xf numFmtId="4" fontId="1" fillId="0" borderId="0" xfId="1" applyNumberFormat="1" applyFill="1" applyBorder="1"/>
    <xf numFmtId="0" fontId="3" fillId="0" borderId="0" xfId="1" applyFont="1" applyFill="1" applyBorder="1"/>
    <xf numFmtId="2" fontId="1" fillId="0" borderId="0" xfId="1" applyNumberFormat="1" applyFill="1" applyBorder="1" applyAlignment="1">
      <alignment horizontal="right"/>
    </xf>
    <xf numFmtId="0" fontId="1" fillId="0" borderId="0" xfId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1" fillId="0" borderId="0" xfId="2" applyBorder="1"/>
    <xf numFmtId="0" fontId="2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2" fillId="0" borderId="0" xfId="2" applyFont="1" applyFill="1" applyBorder="1"/>
    <xf numFmtId="0" fontId="1" fillId="0" borderId="0" xfId="2" applyFill="1" applyBorder="1"/>
    <xf numFmtId="4" fontId="1" fillId="0" borderId="0" xfId="2" applyNumberFormat="1" applyFill="1" applyBorder="1"/>
    <xf numFmtId="4" fontId="3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5" fillId="0" borderId="0" xfId="2" applyFont="1" applyFill="1" applyBorder="1"/>
    <xf numFmtId="2" fontId="1" fillId="0" borderId="0" xfId="2" applyNumberFormat="1" applyFill="1" applyBorder="1"/>
    <xf numFmtId="2" fontId="5" fillId="0" borderId="0" xfId="2" applyNumberFormat="1" applyFont="1" applyFill="1" applyBorder="1"/>
    <xf numFmtId="0" fontId="1" fillId="0" borderId="0" xfId="2" applyFont="1" applyFill="1" applyBorder="1"/>
    <xf numFmtId="0" fontId="1" fillId="0" borderId="0" xfId="2" applyFont="1" applyBorder="1"/>
    <xf numFmtId="2" fontId="1" fillId="0" borderId="0" xfId="2" applyNumberFormat="1" applyBorder="1"/>
    <xf numFmtId="0" fontId="5" fillId="0" borderId="0" xfId="2" applyFont="1" applyBorder="1"/>
    <xf numFmtId="0" fontId="2" fillId="0" borderId="0" xfId="2" applyFont="1" applyBorder="1"/>
    <xf numFmtId="2" fontId="1" fillId="0" borderId="0" xfId="2" applyNumberForma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14" fillId="0" borderId="0" xfId="2" applyFont="1" applyFill="1" applyBorder="1" applyAlignment="1"/>
    <xf numFmtId="2" fontId="0" fillId="0" borderId="0" xfId="0" applyNumberFormat="1" applyBorder="1"/>
    <xf numFmtId="4" fontId="3" fillId="0" borderId="0" xfId="2" applyNumberFormat="1" applyFont="1" applyBorder="1"/>
    <xf numFmtId="4" fontId="1" fillId="0" borderId="0" xfId="2" applyNumberFormat="1" applyBorder="1"/>
    <xf numFmtId="2" fontId="1" fillId="0" borderId="0" xfId="2" applyNumberFormat="1" applyBorder="1" applyAlignment="1">
      <alignment horizontal="right"/>
    </xf>
    <xf numFmtId="0" fontId="2" fillId="0" borderId="0" xfId="2" applyFont="1" applyBorder="1" applyAlignment="1"/>
    <xf numFmtId="0" fontId="24" fillId="0" borderId="0" xfId="0" applyFont="1" applyBorder="1" applyAlignment="1"/>
    <xf numFmtId="0" fontId="14" fillId="0" borderId="0" xfId="2" applyFont="1" applyBorder="1" applyAlignment="1"/>
    <xf numFmtId="0" fontId="0" fillId="0" borderId="0" xfId="0" applyBorder="1" applyAlignment="1">
      <alignment wrapText="1"/>
    </xf>
    <xf numFmtId="0" fontId="36" fillId="0" borderId="3" xfId="0" applyFont="1" applyBorder="1"/>
    <xf numFmtId="0" fontId="36" fillId="0" borderId="0" xfId="0" applyFont="1" applyBorder="1"/>
    <xf numFmtId="0" fontId="36" fillId="0" borderId="4" xfId="0" applyFont="1" applyBorder="1"/>
    <xf numFmtId="164" fontId="36" fillId="0" borderId="0" xfId="0" applyNumberFormat="1" applyFont="1" applyBorder="1"/>
    <xf numFmtId="164" fontId="36" fillId="0" borderId="4" xfId="0" applyNumberFormat="1" applyFont="1" applyBorder="1"/>
    <xf numFmtId="0" fontId="36" fillId="0" borderId="5" xfId="0" applyFont="1" applyBorder="1"/>
    <xf numFmtId="0" fontId="36" fillId="0" borderId="6" xfId="0" applyFont="1" applyBorder="1"/>
    <xf numFmtId="164" fontId="36" fillId="0" borderId="6" xfId="0" applyNumberFormat="1" applyFont="1" applyBorder="1"/>
    <xf numFmtId="0" fontId="1" fillId="0" borderId="6" xfId="0" applyFont="1" applyBorder="1"/>
    <xf numFmtId="164" fontId="36" fillId="0" borderId="7" xfId="0" applyNumberFormat="1" applyFont="1" applyBorder="1"/>
    <xf numFmtId="0" fontId="0" fillId="0" borderId="0" xfId="0" applyAlignment="1"/>
    <xf numFmtId="0" fontId="14" fillId="0" borderId="0" xfId="0" applyFont="1" applyAlignment="1"/>
    <xf numFmtId="0" fontId="2" fillId="0" borderId="0" xfId="2" applyFont="1" applyAlignment="1"/>
    <xf numFmtId="0" fontId="14" fillId="0" borderId="0" xfId="2" applyFont="1" applyFill="1" applyAlignment="1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/>
    <xf numFmtId="0" fontId="1" fillId="0" borderId="6" xfId="0" applyFont="1" applyFill="1" applyBorder="1" applyAlignment="1">
      <alignment horizontal="center"/>
    </xf>
    <xf numFmtId="0" fontId="0" fillId="0" borderId="7" xfId="0" applyBorder="1"/>
    <xf numFmtId="0" fontId="2" fillId="2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4" fontId="1" fillId="3" borderId="0" xfId="0" applyNumberFormat="1" applyFont="1" applyFill="1" applyBorder="1" applyAlignment="1">
      <alignment horizontal="right"/>
    </xf>
    <xf numFmtId="14" fontId="1" fillId="3" borderId="4" xfId="0" applyNumberFormat="1" applyFont="1" applyFill="1" applyBorder="1" applyAlignment="1">
      <alignment horizontal="right"/>
    </xf>
    <xf numFmtId="0" fontId="16" fillId="0" borderId="0" xfId="0" applyFont="1" applyBorder="1"/>
    <xf numFmtId="0" fontId="25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14" fontId="36" fillId="4" borderId="0" xfId="0" applyNumberFormat="1" applyFont="1" applyFill="1" applyBorder="1" applyAlignment="1">
      <alignment horizontal="right"/>
    </xf>
    <xf numFmtId="14" fontId="36" fillId="4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/>
    <xf numFmtId="2" fontId="1" fillId="0" borderId="6" xfId="0" applyNumberFormat="1" applyFont="1" applyFill="1" applyBorder="1"/>
    <xf numFmtId="4" fontId="1" fillId="0" borderId="0" xfId="0" applyNumberFormat="1" applyFont="1" applyFill="1" applyBorder="1"/>
    <xf numFmtId="2" fontId="5" fillId="0" borderId="6" xfId="0" applyNumberFormat="1" applyFont="1" applyFill="1" applyBorder="1"/>
    <xf numFmtId="9" fontId="0" fillId="0" borderId="0" xfId="0" applyNumberFormat="1"/>
    <xf numFmtId="0" fontId="30" fillId="0" borderId="0" xfId="0" applyFont="1" applyFill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164" fontId="22" fillId="0" borderId="0" xfId="0" applyNumberFormat="1" applyFont="1" applyFill="1"/>
    <xf numFmtId="0" fontId="28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7" xfId="0" applyFont="1" applyFill="1" applyBorder="1"/>
    <xf numFmtId="0" fontId="22" fillId="0" borderId="17" xfId="0" applyFont="1" applyFill="1" applyBorder="1" applyAlignment="1">
      <alignment horizontal="center"/>
    </xf>
    <xf numFmtId="4" fontId="22" fillId="0" borderId="0" xfId="0" applyNumberFormat="1" applyFont="1" applyFill="1" applyBorder="1"/>
    <xf numFmtId="2" fontId="23" fillId="0" borderId="0" xfId="0" applyNumberFormat="1" applyFont="1" applyFill="1" applyBorder="1"/>
    <xf numFmtId="0" fontId="30" fillId="0" borderId="14" xfId="0" applyFont="1" applyFill="1" applyBorder="1" applyAlignment="1">
      <alignment horizontal="left"/>
    </xf>
    <xf numFmtId="0" fontId="22" fillId="0" borderId="15" xfId="0" applyFont="1" applyFill="1" applyBorder="1"/>
    <xf numFmtId="0" fontId="23" fillId="0" borderId="15" xfId="0" applyFont="1" applyFill="1" applyBorder="1"/>
    <xf numFmtId="0" fontId="22" fillId="0" borderId="16" xfId="0" applyFont="1" applyFill="1" applyBorder="1"/>
    <xf numFmtId="0" fontId="28" fillId="0" borderId="23" xfId="0" applyFont="1" applyFill="1" applyBorder="1" applyAlignment="1">
      <alignment horizontal="center"/>
    </xf>
    <xf numFmtId="0" fontId="22" fillId="0" borderId="23" xfId="0" applyFont="1" applyFill="1" applyBorder="1"/>
    <xf numFmtId="0" fontId="23" fillId="0" borderId="23" xfId="0" applyFont="1" applyFill="1" applyBorder="1"/>
    <xf numFmtId="0" fontId="31" fillId="0" borderId="14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164" fontId="23" fillId="0" borderId="0" xfId="0" applyNumberFormat="1" applyFont="1" applyFill="1"/>
    <xf numFmtId="164" fontId="29" fillId="0" borderId="0" xfId="0" applyNumberFormat="1" applyFont="1" applyFill="1"/>
    <xf numFmtId="0" fontId="37" fillId="0" borderId="11" xfId="0" applyFont="1" applyBorder="1"/>
    <xf numFmtId="0" fontId="39" fillId="0" borderId="0" xfId="0" applyFont="1" applyAlignment="1">
      <alignment horizontal="center"/>
    </xf>
    <xf numFmtId="0" fontId="40" fillId="0" borderId="3" xfId="0" applyFont="1" applyBorder="1"/>
    <xf numFmtId="0" fontId="38" fillId="0" borderId="6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5" xfId="0" applyFont="1" applyBorder="1"/>
    <xf numFmtId="164" fontId="41" fillId="0" borderId="6" xfId="0" applyNumberFormat="1" applyFont="1" applyFill="1" applyBorder="1"/>
    <xf numFmtId="164" fontId="41" fillId="0" borderId="7" xfId="0" applyNumberFormat="1" applyFont="1" applyFill="1" applyBorder="1"/>
    <xf numFmtId="0" fontId="42" fillId="0" borderId="11" xfId="1" applyFont="1" applyFill="1" applyBorder="1"/>
    <xf numFmtId="0" fontId="40" fillId="0" borderId="1" xfId="0" applyFont="1" applyBorder="1"/>
    <xf numFmtId="0" fontId="40" fillId="0" borderId="2" xfId="0" applyFont="1" applyBorder="1"/>
    <xf numFmtId="0" fontId="40" fillId="0" borderId="0" xfId="0" applyFont="1" applyBorder="1"/>
    <xf numFmtId="0" fontId="40" fillId="0" borderId="4" xfId="0" applyFont="1" applyBorder="1"/>
    <xf numFmtId="0" fontId="38" fillId="0" borderId="3" xfId="0" applyFont="1" applyBorder="1"/>
    <xf numFmtId="0" fontId="38" fillId="0" borderId="0" xfId="0" applyFont="1" applyBorder="1"/>
    <xf numFmtId="0" fontId="38" fillId="0" borderId="4" xfId="0" applyFont="1" applyBorder="1"/>
    <xf numFmtId="0" fontId="41" fillId="0" borderId="0" xfId="0" applyFont="1" applyBorder="1"/>
    <xf numFmtId="0" fontId="38" fillId="0" borderId="6" xfId="0" applyFont="1" applyBorder="1"/>
    <xf numFmtId="0" fontId="38" fillId="0" borderId="7" xfId="0" applyFont="1" applyBorder="1"/>
    <xf numFmtId="0" fontId="38" fillId="0" borderId="0" xfId="0" applyFont="1"/>
    <xf numFmtId="0" fontId="40" fillId="0" borderId="0" xfId="0" applyFont="1"/>
    <xf numFmtId="0" fontId="43" fillId="0" borderId="3" xfId="0" applyFont="1" applyBorder="1"/>
    <xf numFmtId="0" fontId="38" fillId="0" borderId="6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8" fillId="0" borderId="3" xfId="0" applyFont="1" applyBorder="1" applyAlignment="1">
      <alignment horizontal="left"/>
    </xf>
    <xf numFmtId="49" fontId="38" fillId="0" borderId="3" xfId="0" applyNumberFormat="1" applyFont="1" applyBorder="1" applyAlignment="1">
      <alignment horizontal="left"/>
    </xf>
    <xf numFmtId="0" fontId="38" fillId="0" borderId="3" xfId="0" applyNumberFormat="1" applyFont="1" applyBorder="1" applyAlignment="1">
      <alignment horizontal="left"/>
    </xf>
    <xf numFmtId="0" fontId="41" fillId="0" borderId="3" xfId="1" applyFont="1" applyBorder="1"/>
    <xf numFmtId="0" fontId="41" fillId="0" borderId="0" xfId="1" applyFont="1" applyBorder="1"/>
    <xf numFmtId="0" fontId="41" fillId="0" borderId="0" xfId="1" applyNumberFormat="1" applyFont="1" applyBorder="1"/>
    <xf numFmtId="0" fontId="41" fillId="0" borderId="4" xfId="1" applyFont="1" applyBorder="1"/>
    <xf numFmtId="0" fontId="41" fillId="0" borderId="5" xfId="1" applyFont="1" applyBorder="1"/>
    <xf numFmtId="0" fontId="41" fillId="0" borderId="6" xfId="1" applyFont="1" applyBorder="1"/>
    <xf numFmtId="0" fontId="41" fillId="0" borderId="6" xfId="1" applyNumberFormat="1" applyFont="1" applyBorder="1"/>
    <xf numFmtId="0" fontId="41" fillId="0" borderId="7" xfId="1" applyFont="1" applyBorder="1"/>
    <xf numFmtId="0" fontId="41" fillId="0" borderId="0" xfId="1" applyFont="1" applyFill="1" applyBorder="1"/>
    <xf numFmtId="2" fontId="41" fillId="0" borderId="0" xfId="1" applyNumberFormat="1" applyFont="1" applyFill="1" applyBorder="1"/>
    <xf numFmtId="0" fontId="42" fillId="0" borderId="0" xfId="1" applyFont="1" applyFill="1" applyBorder="1"/>
    <xf numFmtId="0" fontId="44" fillId="0" borderId="0" xfId="1" applyFont="1" applyFill="1" applyBorder="1" applyAlignment="1"/>
    <xf numFmtId="0" fontId="44" fillId="0" borderId="0" xfId="1" applyFont="1" applyFill="1" applyBorder="1" applyAlignment="1">
      <alignment horizontal="right"/>
    </xf>
    <xf numFmtId="0" fontId="44" fillId="0" borderId="0" xfId="1" applyFont="1" applyFill="1" applyBorder="1" applyAlignment="1">
      <alignment horizontal="right" wrapText="1"/>
    </xf>
    <xf numFmtId="0" fontId="40" fillId="0" borderId="0" xfId="0" applyFont="1" applyFill="1" applyBorder="1"/>
    <xf numFmtId="0" fontId="45" fillId="0" borderId="0" xfId="0" applyFont="1" applyAlignment="1">
      <alignment horizontal="center"/>
    </xf>
    <xf numFmtId="49" fontId="38" fillId="0" borderId="6" xfId="0" applyNumberFormat="1" applyFont="1" applyBorder="1" applyAlignment="1">
      <alignment horizontal="right"/>
    </xf>
    <xf numFmtId="0" fontId="41" fillId="0" borderId="3" xfId="1" applyFont="1" applyFill="1" applyBorder="1"/>
    <xf numFmtId="164" fontId="38" fillId="0" borderId="0" xfId="0" applyNumberFormat="1" applyFont="1" applyFill="1" applyBorder="1"/>
    <xf numFmtId="164" fontId="38" fillId="0" borderId="4" xfId="0" applyNumberFormat="1" applyFont="1" applyFill="1" applyBorder="1"/>
    <xf numFmtId="164" fontId="38" fillId="0" borderId="6" xfId="0" applyNumberFormat="1" applyFont="1" applyFill="1" applyBorder="1"/>
    <xf numFmtId="164" fontId="38" fillId="0" borderId="7" xfId="0" applyNumberFormat="1" applyFont="1" applyFill="1" applyBorder="1"/>
    <xf numFmtId="0" fontId="38" fillId="0" borderId="3" xfId="0" applyFont="1" applyBorder="1" applyAlignment="1">
      <alignment horizontal="left"/>
    </xf>
    <xf numFmtId="0" fontId="43" fillId="0" borderId="3" xfId="0" applyFont="1" applyBorder="1" applyAlignment="1">
      <alignment horizontal="right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164" fontId="38" fillId="0" borderId="0" xfId="0" applyNumberFormat="1" applyFont="1" applyBorder="1"/>
    <xf numFmtId="164" fontId="38" fillId="0" borderId="4" xfId="0" applyNumberFormat="1" applyFont="1" applyBorder="1"/>
    <xf numFmtId="164" fontId="38" fillId="0" borderId="0" xfId="0" applyNumberFormat="1" applyFont="1" applyFill="1" applyBorder="1" applyAlignment="1">
      <alignment horizontal="right"/>
    </xf>
    <xf numFmtId="164" fontId="38" fillId="0" borderId="4" xfId="0" applyNumberFormat="1" applyFont="1" applyFill="1" applyBorder="1" applyAlignment="1">
      <alignment horizontal="right"/>
    </xf>
    <xf numFmtId="0" fontId="38" fillId="0" borderId="5" xfId="0" applyFont="1" applyBorder="1" applyAlignment="1">
      <alignment horizontal="left"/>
    </xf>
    <xf numFmtId="164" fontId="38" fillId="0" borderId="6" xfId="0" applyNumberFormat="1" applyFont="1" applyFill="1" applyBorder="1" applyAlignment="1">
      <alignment horizontal="right"/>
    </xf>
    <xf numFmtId="164" fontId="38" fillId="0" borderId="7" xfId="0" applyNumberFormat="1" applyFont="1" applyFill="1" applyBorder="1" applyAlignment="1">
      <alignment horizontal="right"/>
    </xf>
    <xf numFmtId="0" fontId="41" fillId="0" borderId="0" xfId="2" applyFont="1"/>
    <xf numFmtId="2" fontId="41" fillId="0" borderId="0" xfId="2" applyNumberFormat="1" applyFont="1"/>
    <xf numFmtId="0" fontId="38" fillId="0" borderId="0" xfId="0" applyFont="1" applyFill="1" applyBorder="1"/>
    <xf numFmtId="0" fontId="44" fillId="0" borderId="8" xfId="3" applyFont="1" applyBorder="1" applyAlignment="1">
      <alignment horizontal="center"/>
    </xf>
    <xf numFmtId="0" fontId="44" fillId="0" borderId="9" xfId="3" applyFont="1" applyBorder="1" applyAlignment="1">
      <alignment horizontal="center"/>
    </xf>
    <xf numFmtId="0" fontId="44" fillId="0" borderId="10" xfId="3" applyFont="1" applyBorder="1" applyAlignment="1">
      <alignment horizontal="center"/>
    </xf>
    <xf numFmtId="0" fontId="41" fillId="0" borderId="3" xfId="3" applyFont="1" applyBorder="1"/>
    <xf numFmtId="0" fontId="41" fillId="0" borderId="0" xfId="3" applyFont="1" applyBorder="1"/>
    <xf numFmtId="164" fontId="41" fillId="0" borderId="0" xfId="3" applyNumberFormat="1" applyFont="1" applyBorder="1"/>
    <xf numFmtId="164" fontId="41" fillId="0" borderId="4" xfId="3" applyNumberFormat="1" applyFont="1" applyBorder="1"/>
    <xf numFmtId="0" fontId="41" fillId="0" borderId="5" xfId="3" applyFont="1" applyBorder="1"/>
    <xf numFmtId="0" fontId="41" fillId="0" borderId="6" xfId="3" applyFont="1" applyBorder="1"/>
    <xf numFmtId="164" fontId="41" fillId="0" borderId="6" xfId="3" applyNumberFormat="1" applyFont="1" applyBorder="1"/>
    <xf numFmtId="164" fontId="41" fillId="0" borderId="7" xfId="3" applyNumberFormat="1" applyFont="1" applyBorder="1"/>
    <xf numFmtId="0" fontId="46" fillId="0" borderId="22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20" xfId="0" applyFont="1" applyBorder="1" applyAlignment="1">
      <alignment vertical="center"/>
    </xf>
    <xf numFmtId="0" fontId="46" fillId="0" borderId="20" xfId="0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/>
    </xf>
    <xf numFmtId="0" fontId="42" fillId="0" borderId="11" xfId="1" applyFont="1" applyBorder="1"/>
    <xf numFmtId="0" fontId="41" fillId="0" borderId="1" xfId="1" applyFont="1" applyBorder="1"/>
    <xf numFmtId="0" fontId="41" fillId="0" borderId="1" xfId="1" applyNumberFormat="1" applyFont="1" applyBorder="1"/>
    <xf numFmtId="0" fontId="41" fillId="0" borderId="2" xfId="1" applyFont="1" applyBorder="1"/>
    <xf numFmtId="0" fontId="41" fillId="0" borderId="0" xfId="1" applyFont="1" applyBorder="1" applyAlignment="1">
      <alignment horizontal="center" wrapText="1"/>
    </xf>
    <xf numFmtId="0" fontId="42" fillId="0" borderId="0" xfId="1" applyFont="1" applyBorder="1"/>
    <xf numFmtId="0" fontId="44" fillId="0" borderId="0" xfId="1" applyFont="1" applyBorder="1" applyAlignment="1"/>
    <xf numFmtId="0" fontId="44" fillId="0" borderId="0" xfId="1" applyFont="1" applyBorder="1" applyAlignment="1">
      <alignment horizontal="right"/>
    </xf>
    <xf numFmtId="0" fontId="44" fillId="0" borderId="0" xfId="1" applyFont="1" applyBorder="1" applyAlignment="1">
      <alignment horizontal="right" wrapText="1"/>
    </xf>
    <xf numFmtId="0" fontId="41" fillId="0" borderId="0" xfId="1" applyFont="1" applyFill="1" applyBorder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1" fillId="0" borderId="3" xfId="0" applyFont="1" applyBorder="1"/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6" fillId="0" borderId="3" xfId="0" applyFont="1" applyBorder="1"/>
    <xf numFmtId="0" fontId="46" fillId="0" borderId="0" xfId="0" applyFont="1" applyBorder="1"/>
    <xf numFmtId="0" fontId="46" fillId="0" borderId="4" xfId="0" applyFont="1" applyBorder="1"/>
    <xf numFmtId="164" fontId="46" fillId="0" borderId="0" xfId="0" applyNumberFormat="1" applyFont="1" applyBorder="1"/>
    <xf numFmtId="164" fontId="46" fillId="0" borderId="4" xfId="0" applyNumberFormat="1" applyFont="1" applyBorder="1"/>
    <xf numFmtId="0" fontId="46" fillId="0" borderId="5" xfId="0" applyFont="1" applyBorder="1"/>
    <xf numFmtId="0" fontId="46" fillId="0" borderId="6" xfId="0" applyFont="1" applyBorder="1"/>
    <xf numFmtId="164" fontId="46" fillId="0" borderId="6" xfId="0" applyNumberFormat="1" applyFont="1" applyBorder="1"/>
    <xf numFmtId="0" fontId="41" fillId="0" borderId="6" xfId="0" applyFont="1" applyBorder="1"/>
    <xf numFmtId="164" fontId="46" fillId="0" borderId="7" xfId="0" applyNumberFormat="1" applyFont="1" applyBorder="1"/>
    <xf numFmtId="0" fontId="41" fillId="0" borderId="0" xfId="4" applyFont="1" applyBorder="1"/>
    <xf numFmtId="164" fontId="41" fillId="0" borderId="0" xfId="4" applyNumberFormat="1" applyFont="1" applyBorder="1"/>
    <xf numFmtId="0" fontId="44" fillId="0" borderId="11" xfId="4" applyFont="1" applyBorder="1" applyAlignment="1">
      <alignment horizontal="center"/>
    </xf>
    <xf numFmtId="0" fontId="44" fillId="0" borderId="1" xfId="4" applyFont="1" applyBorder="1" applyAlignment="1">
      <alignment horizontal="center"/>
    </xf>
    <xf numFmtId="164" fontId="41" fillId="0" borderId="1" xfId="4" applyNumberFormat="1" applyFont="1" applyBorder="1"/>
    <xf numFmtId="164" fontId="41" fillId="0" borderId="2" xfId="4" applyNumberFormat="1" applyFont="1" applyBorder="1"/>
    <xf numFmtId="0" fontId="41" fillId="0" borderId="5" xfId="4" applyFont="1" applyBorder="1"/>
    <xf numFmtId="0" fontId="41" fillId="0" borderId="6" xfId="4" applyFont="1" applyBorder="1" applyAlignment="1">
      <alignment horizontal="center"/>
    </xf>
    <xf numFmtId="164" fontId="41" fillId="0" borderId="6" xfId="4" applyNumberFormat="1" applyFont="1" applyBorder="1"/>
    <xf numFmtId="164" fontId="41" fillId="0" borderId="7" xfId="4" applyNumberFormat="1" applyFont="1" applyBorder="1"/>
    <xf numFmtId="164" fontId="41" fillId="0" borderId="12" xfId="4" applyNumberFormat="1" applyFont="1" applyBorder="1"/>
    <xf numFmtId="164" fontId="41" fillId="0" borderId="13" xfId="4" applyNumberFormat="1" applyFont="1" applyBorder="1"/>
    <xf numFmtId="0" fontId="44" fillId="0" borderId="0" xfId="4" applyFont="1" applyBorder="1" applyAlignment="1">
      <alignment horizontal="center"/>
    </xf>
    <xf numFmtId="0" fontId="41" fillId="0" borderId="0" xfId="4" applyFont="1" applyBorder="1" applyAlignment="1">
      <alignment horizontal="center"/>
    </xf>
    <xf numFmtId="0" fontId="38" fillId="0" borderId="1" xfId="0" applyFont="1" applyBorder="1"/>
    <xf numFmtId="0" fontId="38" fillId="0" borderId="2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38" fillId="0" borderId="6" xfId="0" applyFont="1" applyFill="1" applyBorder="1" applyAlignment="1">
      <alignment horizontal="center"/>
    </xf>
    <xf numFmtId="0" fontId="38" fillId="0" borderId="6" xfId="0" applyFont="1" applyFill="1" applyBorder="1"/>
    <xf numFmtId="0" fontId="38" fillId="0" borderId="6" xfId="0" applyFont="1" applyFill="1" applyBorder="1" applyAlignment="1">
      <alignment horizontal="right"/>
    </xf>
    <xf numFmtId="0" fontId="38" fillId="0" borderId="0" xfId="0" applyFont="1" applyFill="1" applyBorder="1" applyAlignment="1"/>
    <xf numFmtId="164" fontId="41" fillId="0" borderId="0" xfId="0" applyNumberFormat="1" applyFont="1" applyFill="1" applyBorder="1"/>
    <xf numFmtId="164" fontId="41" fillId="0" borderId="4" xfId="0" applyNumberFormat="1" applyFont="1" applyFill="1" applyBorder="1"/>
    <xf numFmtId="0" fontId="41" fillId="0" borderId="5" xfId="1" applyFont="1" applyFill="1" applyBorder="1"/>
    <xf numFmtId="0" fontId="45" fillId="0" borderId="0" xfId="0" applyFont="1" applyAlignment="1">
      <alignment horizontal="center" wrapText="1"/>
    </xf>
    <xf numFmtId="0" fontId="38" fillId="0" borderId="1" xfId="0" applyFont="1" applyBorder="1" applyAlignment="1"/>
    <xf numFmtId="0" fontId="38" fillId="0" borderId="2" xfId="0" applyFont="1" applyBorder="1" applyAlignment="1"/>
    <xf numFmtId="0" fontId="41" fillId="0" borderId="0" xfId="1" applyFont="1"/>
    <xf numFmtId="2" fontId="41" fillId="0" borderId="0" xfId="1" applyNumberFormat="1" applyFont="1"/>
    <xf numFmtId="0" fontId="38" fillId="0" borderId="0" xfId="0" applyFont="1" applyBorder="1" applyAlignment="1">
      <alignment horizontal="right"/>
    </xf>
    <xf numFmtId="49" fontId="38" fillId="0" borderId="0" xfId="0" applyNumberFormat="1" applyFont="1" applyBorder="1" applyAlignment="1">
      <alignment horizontal="right"/>
    </xf>
    <xf numFmtId="0" fontId="38" fillId="0" borderId="4" xfId="0" applyFont="1" applyBorder="1" applyAlignment="1">
      <alignment horizontal="right"/>
    </xf>
    <xf numFmtId="0" fontId="41" fillId="0" borderId="19" xfId="1" applyFont="1" applyFill="1" applyBorder="1"/>
    <xf numFmtId="164" fontId="38" fillId="0" borderId="12" xfId="0" applyNumberFormat="1" applyFont="1" applyFill="1" applyBorder="1"/>
    <xf numFmtId="164" fontId="38" fillId="0" borderId="13" xfId="0" applyNumberFormat="1" applyFont="1" applyFill="1" applyBorder="1"/>
    <xf numFmtId="0" fontId="38" fillId="0" borderId="4" xfId="0" applyFont="1" applyFill="1" applyBorder="1"/>
    <xf numFmtId="0" fontId="48" fillId="0" borderId="0" xfId="0" applyFont="1" applyBorder="1"/>
    <xf numFmtId="0" fontId="40" fillId="0" borderId="6" xfId="0" applyFont="1" applyBorder="1"/>
    <xf numFmtId="164" fontId="40" fillId="0" borderId="0" xfId="0" applyNumberFormat="1" applyFont="1"/>
    <xf numFmtId="0" fontId="41" fillId="0" borderId="0" xfId="0" applyFont="1"/>
    <xf numFmtId="49" fontId="38" fillId="0" borderId="5" xfId="0" applyNumberFormat="1" applyFont="1" applyBorder="1" applyAlignment="1">
      <alignment horizontal="left"/>
    </xf>
    <xf numFmtId="0" fontId="41" fillId="0" borderId="1" xfId="1" applyFont="1" applyFill="1" applyBorder="1"/>
    <xf numFmtId="0" fontId="41" fillId="0" borderId="1" xfId="1" applyNumberFormat="1" applyFont="1" applyFill="1" applyBorder="1"/>
    <xf numFmtId="0" fontId="41" fillId="0" borderId="2" xfId="1" applyFont="1" applyFill="1" applyBorder="1"/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1" xfId="0" applyFont="1" applyBorder="1"/>
    <xf numFmtId="0" fontId="46" fillId="0" borderId="2" xfId="0" applyFont="1" applyBorder="1"/>
    <xf numFmtId="164" fontId="46" fillId="0" borderId="0" xfId="0" applyNumberFormat="1" applyFont="1"/>
    <xf numFmtId="0" fontId="46" fillId="0" borderId="6" xfId="0" applyFont="1" applyBorder="1" applyAlignment="1">
      <alignment horizontal="right"/>
    </xf>
    <xf numFmtId="44" fontId="0" fillId="0" borderId="0" xfId="5" applyFont="1"/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49" fontId="0" fillId="0" borderId="0" xfId="0" applyNumberFormat="1" applyFill="1"/>
    <xf numFmtId="0" fontId="2" fillId="0" borderId="0" xfId="0" applyFont="1" applyAlignment="1"/>
    <xf numFmtId="0" fontId="4" fillId="0" borderId="28" xfId="0" applyFont="1" applyFill="1" applyBorder="1"/>
    <xf numFmtId="4" fontId="4" fillId="0" borderId="29" xfId="0" applyNumberFormat="1" applyFont="1" applyFill="1" applyBorder="1"/>
    <xf numFmtId="0" fontId="2" fillId="0" borderId="28" xfId="0" applyFont="1" applyFill="1" applyBorder="1" applyAlignment="1"/>
    <xf numFmtId="0" fontId="2" fillId="2" borderId="30" xfId="0" applyFont="1" applyFill="1" applyBorder="1" applyAlignment="1">
      <alignment horizontal="center"/>
    </xf>
    <xf numFmtId="0" fontId="1" fillId="0" borderId="28" xfId="0" applyFont="1" applyBorder="1"/>
    <xf numFmtId="0" fontId="2" fillId="0" borderId="29" xfId="0" applyFont="1" applyFill="1" applyBorder="1" applyAlignment="1">
      <alignment horizontal="right"/>
    </xf>
    <xf numFmtId="0" fontId="1" fillId="2" borderId="31" xfId="0" applyFont="1" applyFill="1" applyBorder="1"/>
    <xf numFmtId="164" fontId="5" fillId="0" borderId="29" xfId="0" applyNumberFormat="1" applyFont="1" applyFill="1" applyBorder="1"/>
    <xf numFmtId="0" fontId="1" fillId="0" borderId="32" xfId="0" applyFont="1" applyBorder="1"/>
    <xf numFmtId="2" fontId="5" fillId="0" borderId="33" xfId="0" applyNumberFormat="1" applyFont="1" applyFill="1" applyBorder="1"/>
    <xf numFmtId="2" fontId="5" fillId="0" borderId="29" xfId="0" applyNumberFormat="1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right"/>
    </xf>
    <xf numFmtId="0" fontId="1" fillId="0" borderId="3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5" fillId="0" borderId="28" xfId="0" applyFont="1" applyFill="1" applyBorder="1"/>
    <xf numFmtId="0" fontId="5" fillId="0" borderId="32" xfId="0" applyFont="1" applyFill="1" applyBorder="1"/>
    <xf numFmtId="0" fontId="15" fillId="0" borderId="28" xfId="0" applyFont="1" applyFill="1" applyBorder="1"/>
    <xf numFmtId="2" fontId="15" fillId="0" borderId="29" xfId="0" applyNumberFormat="1" applyFont="1" applyFill="1" applyBorder="1"/>
    <xf numFmtId="0" fontId="1" fillId="0" borderId="28" xfId="0" applyFont="1" applyFill="1" applyBorder="1"/>
    <xf numFmtId="0" fontId="15" fillId="0" borderId="36" xfId="0" applyFont="1" applyFill="1" applyBorder="1"/>
    <xf numFmtId="0" fontId="15" fillId="0" borderId="17" xfId="0" applyFont="1" applyFill="1" applyBorder="1" applyAlignment="1">
      <alignment horizontal="center"/>
    </xf>
    <xf numFmtId="0" fontId="15" fillId="0" borderId="17" xfId="0" applyFont="1" applyFill="1" applyBorder="1"/>
    <xf numFmtId="2" fontId="15" fillId="0" borderId="37" xfId="0" applyNumberFormat="1" applyFont="1" applyFill="1" applyBorder="1" applyAlignment="1">
      <alignment horizontal="right"/>
    </xf>
    <xf numFmtId="0" fontId="27" fillId="0" borderId="0" xfId="0" applyFont="1" applyAlignment="1"/>
    <xf numFmtId="14" fontId="5" fillId="3" borderId="29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2" fillId="0" borderId="36" xfId="0" applyFont="1" applyBorder="1"/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0" fontId="2" fillId="0" borderId="37" xfId="0" applyFont="1" applyBorder="1" applyAlignment="1">
      <alignment horizontal="right"/>
    </xf>
    <xf numFmtId="0" fontId="22" fillId="0" borderId="0" xfId="0" applyFont="1" applyAlignment="1"/>
    <xf numFmtId="0" fontId="51" fillId="0" borderId="0" xfId="0" applyFont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5" fillId="0" borderId="36" xfId="0" applyFont="1" applyFill="1" applyBorder="1"/>
    <xf numFmtId="0" fontId="5" fillId="0" borderId="17" xfId="0" applyFont="1" applyFill="1" applyBorder="1" applyAlignment="1">
      <alignment horizontal="center"/>
    </xf>
    <xf numFmtId="2" fontId="5" fillId="0" borderId="37" xfId="0" applyNumberFormat="1" applyFont="1" applyFill="1" applyBorder="1"/>
    <xf numFmtId="0" fontId="0" fillId="0" borderId="29" xfId="0" applyBorder="1"/>
    <xf numFmtId="0" fontId="2" fillId="0" borderId="29" xfId="0" applyFont="1" applyBorder="1" applyAlignment="1">
      <alignment horizontal="center"/>
    </xf>
    <xf numFmtId="0" fontId="15" fillId="0" borderId="28" xfId="0" applyFont="1" applyBorder="1"/>
    <xf numFmtId="2" fontId="15" fillId="0" borderId="29" xfId="0" applyNumberFormat="1" applyFont="1" applyBorder="1"/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0" fontId="1" fillId="0" borderId="36" xfId="0" applyFont="1" applyFill="1" applyBorder="1"/>
    <xf numFmtId="2" fontId="5" fillId="0" borderId="17" xfId="0" applyNumberFormat="1" applyFont="1" applyFill="1" applyBorder="1"/>
    <xf numFmtId="0" fontId="2" fillId="0" borderId="36" xfId="0" applyFont="1" applyFill="1" applyBorder="1"/>
    <xf numFmtId="14" fontId="5" fillId="4" borderId="2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2" fillId="3" borderId="26" xfId="0" applyNumberFormat="1" applyFont="1" applyFill="1" applyBorder="1" applyAlignment="1">
      <alignment horizontal="left"/>
    </xf>
    <xf numFmtId="4" fontId="2" fillId="3" borderId="23" xfId="0" applyNumberFormat="1" applyFont="1" applyFill="1" applyBorder="1" applyAlignment="1">
      <alignment horizontal="left"/>
    </xf>
    <xf numFmtId="4" fontId="2" fillId="3" borderId="27" xfId="0" applyNumberFormat="1" applyFont="1" applyFill="1" applyBorder="1" applyAlignment="1">
      <alignment horizontal="left"/>
    </xf>
    <xf numFmtId="4" fontId="2" fillId="0" borderId="29" xfId="0" applyNumberFormat="1" applyFont="1" applyFill="1" applyBorder="1" applyAlignment="1">
      <alignment horizontal="left"/>
    </xf>
    <xf numFmtId="44" fontId="1" fillId="0" borderId="29" xfId="5" applyFont="1" applyFill="1" applyBorder="1" applyAlignment="1">
      <alignment horizontal="right"/>
    </xf>
    <xf numFmtId="44" fontId="5" fillId="0" borderId="29" xfId="5" applyFont="1" applyFill="1" applyBorder="1"/>
    <xf numFmtId="2" fontId="52" fillId="0" borderId="2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/>
    <xf numFmtId="4" fontId="2" fillId="0" borderId="0" xfId="0" applyNumberFormat="1" applyFont="1" applyFill="1" applyBorder="1" applyAlignment="1"/>
    <xf numFmtId="44" fontId="1" fillId="0" borderId="0" xfId="5" applyFont="1" applyFill="1" applyBorder="1"/>
    <xf numFmtId="44" fontId="5" fillId="0" borderId="0" xfId="5" applyFont="1" applyFill="1" applyBorder="1"/>
    <xf numFmtId="44" fontId="5" fillId="0" borderId="29" xfId="5" applyFont="1" applyFill="1" applyBorder="1" applyAlignment="1">
      <alignment horizontal="right"/>
    </xf>
    <xf numFmtId="44" fontId="5" fillId="0" borderId="17" xfId="5" applyFont="1" applyFill="1" applyBorder="1"/>
    <xf numFmtId="44" fontId="5" fillId="0" borderId="37" xfId="5" applyFont="1" applyFill="1" applyBorder="1"/>
    <xf numFmtId="44" fontId="1" fillId="0" borderId="0" xfId="5" applyFont="1" applyBorder="1"/>
    <xf numFmtId="44" fontId="1" fillId="0" borderId="29" xfId="5" applyFont="1" applyBorder="1"/>
    <xf numFmtId="44" fontId="15" fillId="0" borderId="0" xfId="5" applyFont="1" applyBorder="1"/>
    <xf numFmtId="44" fontId="15" fillId="0" borderId="29" xfId="5" applyFont="1" applyBorder="1"/>
    <xf numFmtId="44" fontId="1" fillId="0" borderId="29" xfId="5" applyFont="1" applyBorder="1" applyAlignment="1">
      <alignment horizontal="right"/>
    </xf>
    <xf numFmtId="44" fontId="15" fillId="0" borderId="0" xfId="5" applyFont="1" applyFill="1" applyBorder="1"/>
    <xf numFmtId="44" fontId="0" fillId="0" borderId="29" xfId="5" applyFont="1" applyBorder="1"/>
    <xf numFmtId="44" fontId="5" fillId="0" borderId="0" xfId="5" applyFont="1" applyFill="1" applyBorder="1" applyAlignment="1">
      <alignment horizontal="right"/>
    </xf>
    <xf numFmtId="44" fontId="15" fillId="0" borderId="29" xfId="5" applyFont="1" applyFill="1" applyBorder="1"/>
    <xf numFmtId="0" fontId="0" fillId="0" borderId="28" xfId="0" applyBorder="1"/>
    <xf numFmtId="2" fontId="53" fillId="0" borderId="29" xfId="0" applyNumberFormat="1" applyFont="1" applyFill="1" applyBorder="1"/>
    <xf numFmtId="164" fontId="5" fillId="0" borderId="26" xfId="0" applyNumberFormat="1" applyFont="1" applyFill="1" applyBorder="1"/>
    <xf numFmtId="0" fontId="0" fillId="0" borderId="23" xfId="0" applyBorder="1"/>
    <xf numFmtId="164" fontId="5" fillId="0" borderId="23" xfId="0" applyNumberFormat="1" applyFont="1" applyFill="1" applyBorder="1"/>
    <xf numFmtId="164" fontId="5" fillId="0" borderId="27" xfId="0" applyNumberFormat="1" applyFont="1" applyFill="1" applyBorder="1"/>
    <xf numFmtId="44" fontId="5" fillId="0" borderId="0" xfId="5" applyFont="1" applyBorder="1"/>
    <xf numFmtId="44" fontId="1" fillId="0" borderId="0" xfId="5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2" fontId="1" fillId="0" borderId="33" xfId="0" applyNumberFormat="1" applyFont="1" applyFill="1" applyBorder="1"/>
    <xf numFmtId="164" fontId="1" fillId="0" borderId="29" xfId="0" applyNumberFormat="1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44" fontId="1" fillId="0" borderId="0" xfId="5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Fill="1" applyBorder="1"/>
    <xf numFmtId="0" fontId="1" fillId="8" borderId="0" xfId="0" applyFont="1" applyFill="1" applyBorder="1"/>
    <xf numFmtId="0" fontId="1" fillId="8" borderId="20" xfId="0" applyFont="1" applyFill="1" applyBorder="1"/>
    <xf numFmtId="44" fontId="5" fillId="0" borderId="20" xfId="5" applyFont="1" applyBorder="1"/>
    <xf numFmtId="0" fontId="5" fillId="0" borderId="20" xfId="0" applyFont="1" applyBorder="1"/>
    <xf numFmtId="0" fontId="22" fillId="0" borderId="0" xfId="0" applyFont="1" applyBorder="1" applyAlignment="1">
      <alignment horizontal="center"/>
    </xf>
    <xf numFmtId="0" fontId="14" fillId="8" borderId="0" xfId="0" applyFont="1" applyFill="1" applyBorder="1" applyAlignment="1">
      <alignment horizontal="left"/>
    </xf>
    <xf numFmtId="0" fontId="22" fillId="8" borderId="0" xfId="0" applyFont="1" applyFill="1" applyBorder="1" applyAlignment="1"/>
    <xf numFmtId="0" fontId="27" fillId="0" borderId="0" xfId="0" applyFont="1" applyBorder="1" applyAlignment="1"/>
    <xf numFmtId="4" fontId="2" fillId="8" borderId="0" xfId="0" applyNumberFormat="1" applyFont="1" applyFill="1" applyBorder="1" applyAlignment="1"/>
    <xf numFmtId="0" fontId="2" fillId="0" borderId="20" xfId="0" applyFont="1" applyFill="1" applyBorder="1" applyAlignment="1"/>
    <xf numFmtId="0" fontId="2" fillId="8" borderId="20" xfId="0" applyFont="1" applyFill="1" applyBorder="1" applyAlignment="1"/>
    <xf numFmtId="0" fontId="1" fillId="0" borderId="20" xfId="0" applyFont="1" applyBorder="1"/>
    <xf numFmtId="0" fontId="1" fillId="8" borderId="22" xfId="0" applyFont="1" applyFill="1" applyBorder="1"/>
    <xf numFmtId="44" fontId="5" fillId="0" borderId="22" xfId="5" applyFont="1" applyBorder="1"/>
    <xf numFmtId="44" fontId="1" fillId="0" borderId="20" xfId="5" applyFont="1" applyBorder="1"/>
    <xf numFmtId="44" fontId="1" fillId="0" borderId="0" xfId="0" applyNumberFormat="1" applyFont="1" applyBorder="1"/>
    <xf numFmtId="2" fontId="5" fillId="8" borderId="0" xfId="0" applyNumberFormat="1" applyFont="1" applyFill="1" applyBorder="1"/>
    <xf numFmtId="2" fontId="15" fillId="8" borderId="0" xfId="0" applyNumberFormat="1" applyFont="1" applyFill="1" applyBorder="1"/>
    <xf numFmtId="0" fontId="15" fillId="8" borderId="0" xfId="0" applyFont="1" applyFill="1" applyBorder="1"/>
    <xf numFmtId="0" fontId="2" fillId="8" borderId="0" xfId="0" applyFont="1" applyFill="1" applyBorder="1"/>
    <xf numFmtId="2" fontId="0" fillId="8" borderId="0" xfId="0" applyNumberFormat="1" applyFill="1" applyBorder="1"/>
    <xf numFmtId="0" fontId="15" fillId="8" borderId="0" xfId="0" applyFont="1" applyFill="1" applyBorder="1" applyAlignment="1">
      <alignment horizontal="center"/>
    </xf>
    <xf numFmtId="0" fontId="0" fillId="8" borderId="0" xfId="0" applyFill="1" applyBorder="1"/>
    <xf numFmtId="0" fontId="0" fillId="2" borderId="41" xfId="0" applyFill="1" applyBorder="1"/>
    <xf numFmtId="164" fontId="0" fillId="0" borderId="42" xfId="0" applyNumberFormat="1" applyBorder="1"/>
    <xf numFmtId="164" fontId="0" fillId="0" borderId="43" xfId="0" applyNumberFormat="1" applyBorder="1"/>
    <xf numFmtId="0" fontId="0" fillId="0" borderId="44" xfId="0" applyBorder="1"/>
    <xf numFmtId="164" fontId="0" fillId="0" borderId="20" xfId="0" applyNumberFormat="1" applyBorder="1"/>
    <xf numFmtId="164" fontId="0" fillId="0" borderId="30" xfId="0" applyNumberFormat="1" applyBorder="1"/>
    <xf numFmtId="164" fontId="0" fillId="0" borderId="13" xfId="0" applyNumberFormat="1" applyBorder="1"/>
    <xf numFmtId="0" fontId="0" fillId="0" borderId="32" xfId="0" applyBorder="1"/>
    <xf numFmtId="164" fontId="0" fillId="0" borderId="10" xfId="0" applyNumberFormat="1" applyBorder="1"/>
    <xf numFmtId="164" fontId="0" fillId="0" borderId="45" xfId="0" applyNumberFormat="1" applyBorder="1"/>
    <xf numFmtId="0" fontId="56" fillId="8" borderId="0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horizontal="center" wrapText="1"/>
    </xf>
    <xf numFmtId="0" fontId="57" fillId="8" borderId="0" xfId="0" applyFont="1" applyFill="1" applyBorder="1" applyAlignment="1">
      <alignment horizontal="center" wrapText="1"/>
    </xf>
    <xf numFmtId="14" fontId="0" fillId="8" borderId="0" xfId="0" applyNumberFormat="1" applyFill="1" applyBorder="1" applyAlignment="1">
      <alignment horizontal="center" wrapText="1"/>
    </xf>
    <xf numFmtId="14" fontId="19" fillId="8" borderId="0" xfId="0" applyNumberFormat="1" applyFont="1" applyFill="1" applyBorder="1" applyAlignment="1">
      <alignment horizontal="center" wrapText="1"/>
    </xf>
    <xf numFmtId="164" fontId="0" fillId="8" borderId="0" xfId="0" applyNumberFormat="1" applyFill="1" applyBorder="1"/>
    <xf numFmtId="0" fontId="1" fillId="0" borderId="0" xfId="0" applyFont="1" applyFill="1" applyBorder="1" applyAlignment="1"/>
    <xf numFmtId="0" fontId="15" fillId="0" borderId="2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2" fontId="53" fillId="0" borderId="46" xfId="0" applyNumberFormat="1" applyFont="1" applyFill="1" applyBorder="1" applyAlignment="1">
      <alignment horizontal="center"/>
    </xf>
    <xf numFmtId="44" fontId="5" fillId="0" borderId="20" xfId="5" applyFont="1" applyBorder="1" applyAlignment="1"/>
    <xf numFmtId="6" fontId="5" fillId="0" borderId="20" xfId="5" applyNumberFormat="1" applyFont="1" applyBorder="1" applyAlignment="1"/>
    <xf numFmtId="0" fontId="56" fillId="8" borderId="0" xfId="0" applyFont="1" applyFill="1" applyBorder="1" applyAlignment="1">
      <alignment horizontal="center" wrapText="1"/>
    </xf>
    <xf numFmtId="0" fontId="40" fillId="8" borderId="28" xfId="0" applyFont="1" applyFill="1" applyBorder="1" applyAlignment="1">
      <alignment horizontal="left"/>
    </xf>
    <xf numFmtId="0" fontId="40" fillId="8" borderId="0" xfId="0" applyFont="1" applyFill="1" applyBorder="1" applyAlignment="1">
      <alignment horizontal="left"/>
    </xf>
    <xf numFmtId="0" fontId="40" fillId="8" borderId="29" xfId="0" applyFont="1" applyFill="1" applyBorder="1" applyAlignment="1">
      <alignment horizontal="left"/>
    </xf>
    <xf numFmtId="0" fontId="40" fillId="8" borderId="36" xfId="0" applyFont="1" applyFill="1" applyBorder="1" applyAlignment="1">
      <alignment horizontal="left"/>
    </xf>
    <xf numFmtId="0" fontId="40" fillId="8" borderId="17" xfId="0" applyFont="1" applyFill="1" applyBorder="1" applyAlignment="1">
      <alignment horizontal="left"/>
    </xf>
    <xf numFmtId="0" fontId="40" fillId="8" borderId="37" xfId="0" applyFont="1" applyFill="1" applyBorder="1" applyAlignment="1">
      <alignment horizontal="left"/>
    </xf>
    <xf numFmtId="4" fontId="2" fillId="0" borderId="28" xfId="0" applyNumberFormat="1" applyFont="1" applyFill="1" applyBorder="1" applyAlignment="1">
      <alignment horizontal="left"/>
    </xf>
    <xf numFmtId="0" fontId="24" fillId="14" borderId="38" xfId="0" applyFont="1" applyFill="1" applyBorder="1" applyAlignment="1">
      <alignment horizontal="center" wrapText="1"/>
    </xf>
    <xf numFmtId="14" fontId="0" fillId="14" borderId="40" xfId="0" applyNumberFormat="1" applyFill="1" applyBorder="1" applyAlignment="1">
      <alignment horizontal="center" wrapText="1"/>
    </xf>
    <xf numFmtId="0" fontId="56" fillId="14" borderId="38" xfId="0" applyFont="1" applyFill="1" applyBorder="1" applyAlignment="1">
      <alignment horizontal="center" wrapText="1"/>
    </xf>
    <xf numFmtId="14" fontId="0" fillId="14" borderId="39" xfId="0" applyNumberFormat="1" applyFill="1" applyBorder="1" applyAlignment="1">
      <alignment horizontal="center" wrapText="1"/>
    </xf>
    <xf numFmtId="14" fontId="19" fillId="14" borderId="39" xfId="0" applyNumberFormat="1" applyFont="1" applyFill="1" applyBorder="1" applyAlignment="1">
      <alignment horizontal="center" wrapText="1"/>
    </xf>
    <xf numFmtId="0" fontId="15" fillId="11" borderId="28" xfId="0" applyFont="1" applyFill="1" applyBorder="1" applyAlignment="1">
      <alignment horizontal="center"/>
    </xf>
    <xf numFmtId="164" fontId="5" fillId="11" borderId="0" xfId="0" applyNumberFormat="1" applyFont="1" applyFill="1" applyBorder="1"/>
    <xf numFmtId="2" fontId="15" fillId="11" borderId="29" xfId="0" applyNumberFormat="1" applyFont="1" applyFill="1" applyBorder="1"/>
    <xf numFmtId="2" fontId="5" fillId="0" borderId="0" xfId="0" applyNumberFormat="1" applyFont="1" applyFill="1" applyBorder="1" applyAlignment="1"/>
    <xf numFmtId="0" fontId="56" fillId="8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5" fillId="0" borderId="28" xfId="0" applyNumberFormat="1" applyFont="1" applyFill="1" applyBorder="1"/>
    <xf numFmtId="4" fontId="5" fillId="0" borderId="31" xfId="0" applyNumberFormat="1" applyFont="1" applyFill="1" applyBorder="1"/>
    <xf numFmtId="0" fontId="0" fillId="0" borderId="31" xfId="0" applyBorder="1"/>
    <xf numFmtId="44" fontId="5" fillId="0" borderId="30" xfId="5" applyFont="1" applyFill="1" applyBorder="1" applyAlignment="1">
      <alignment horizontal="right"/>
    </xf>
    <xf numFmtId="44" fontId="5" fillId="0" borderId="30" xfId="5" applyFont="1" applyFill="1" applyBorder="1"/>
    <xf numFmtId="2" fontId="5" fillId="0" borderId="30" xfId="0" applyNumberFormat="1" applyFont="1" applyFill="1" applyBorder="1"/>
    <xf numFmtId="0" fontId="0" fillId="0" borderId="49" xfId="0" applyBorder="1"/>
    <xf numFmtId="0" fontId="1" fillId="8" borderId="50" xfId="0" applyFont="1" applyFill="1" applyBorder="1"/>
    <xf numFmtId="44" fontId="1" fillId="0" borderId="50" xfId="5" applyFont="1" applyBorder="1"/>
    <xf numFmtId="44" fontId="5" fillId="0" borderId="45" xfId="5" applyFont="1" applyFill="1" applyBorder="1"/>
    <xf numFmtId="0" fontId="2" fillId="0" borderId="30" xfId="0" applyFont="1" applyFill="1" applyBorder="1" applyAlignment="1">
      <alignment horizontal="right"/>
    </xf>
    <xf numFmtId="44" fontId="5" fillId="0" borderId="50" xfId="5" applyFont="1" applyBorder="1"/>
    <xf numFmtId="4" fontId="2" fillId="0" borderId="31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right"/>
    </xf>
    <xf numFmtId="44" fontId="1" fillId="0" borderId="30" xfId="5" applyFont="1" applyFill="1" applyBorder="1" applyAlignment="1">
      <alignment horizontal="right"/>
    </xf>
    <xf numFmtId="0" fontId="1" fillId="8" borderId="0" xfId="0" applyFont="1" applyFill="1" applyBorder="1" applyAlignment="1">
      <alignment horizontal="center" vertical="justify" wrapText="1"/>
    </xf>
    <xf numFmtId="0" fontId="4" fillId="0" borderId="0" xfId="0" applyFont="1" applyBorder="1" applyAlignment="1">
      <alignment horizontal="center"/>
    </xf>
    <xf numFmtId="0" fontId="0" fillId="9" borderId="36" xfId="0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8" xfId="0" applyFont="1" applyFill="1" applyBorder="1"/>
    <xf numFmtId="0" fontId="0" fillId="0" borderId="26" xfId="0" applyBorder="1"/>
    <xf numFmtId="0" fontId="0" fillId="0" borderId="27" xfId="0" applyBorder="1"/>
    <xf numFmtId="0" fontId="1" fillId="0" borderId="36" xfId="0" applyFont="1" applyBorder="1" applyAlignment="1"/>
    <xf numFmtId="0" fontId="1" fillId="0" borderId="23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36" xfId="0" applyFont="1" applyBorder="1"/>
    <xf numFmtId="0" fontId="5" fillId="0" borderId="17" xfId="0" applyFont="1" applyBorder="1"/>
    <xf numFmtId="4" fontId="5" fillId="0" borderId="17" xfId="0" applyNumberFormat="1" applyFont="1" applyFill="1" applyBorder="1"/>
    <xf numFmtId="0" fontId="0" fillId="0" borderId="0" xfId="0" applyFont="1" applyFill="1" applyBorder="1" applyAlignment="1">
      <alignment wrapText="1"/>
    </xf>
    <xf numFmtId="44" fontId="5" fillId="0" borderId="20" xfId="5" applyFont="1" applyFill="1" applyBorder="1" applyAlignment="1"/>
    <xf numFmtId="6" fontId="5" fillId="0" borderId="20" xfId="5" applyNumberFormat="1" applyFont="1" applyFill="1" applyBorder="1" applyAlignment="1"/>
    <xf numFmtId="44" fontId="1" fillId="0" borderId="20" xfId="5" applyFont="1" applyFill="1" applyBorder="1"/>
    <xf numFmtId="44" fontId="5" fillId="0" borderId="20" xfId="5" applyFont="1" applyFill="1" applyBorder="1"/>
    <xf numFmtId="44" fontId="1" fillId="0" borderId="50" xfId="5" applyFont="1" applyFill="1" applyBorder="1"/>
    <xf numFmtId="44" fontId="5" fillId="0" borderId="50" xfId="5" applyFont="1" applyFill="1" applyBorder="1"/>
    <xf numFmtId="0" fontId="1" fillId="0" borderId="0" xfId="0" applyFont="1" applyFill="1" applyBorder="1" applyAlignment="1">
      <alignment horizontal="center"/>
    </xf>
    <xf numFmtId="0" fontId="0" fillId="0" borderId="29" xfId="0" applyFill="1" applyBorder="1"/>
    <xf numFmtId="0" fontId="55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56" fillId="8" borderId="0" xfId="0" applyFont="1" applyFill="1" applyBorder="1" applyAlignment="1">
      <alignment horizontal="center" wrapText="1"/>
    </xf>
    <xf numFmtId="0" fontId="15" fillId="11" borderId="47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48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1" fillId="0" borderId="26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56" fillId="0" borderId="26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6" fillId="0" borderId="38" xfId="0" applyFont="1" applyBorder="1" applyAlignment="1">
      <alignment horizontal="center" wrapText="1"/>
    </xf>
    <xf numFmtId="0" fontId="56" fillId="0" borderId="3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8" fillId="9" borderId="26" xfId="0" applyFont="1" applyFill="1" applyBorder="1" applyAlignment="1">
      <alignment horizontal="center"/>
    </xf>
    <xf numFmtId="0" fontId="58" fillId="9" borderId="23" xfId="0" applyFont="1" applyFill="1" applyBorder="1" applyAlignment="1">
      <alignment horizontal="center"/>
    </xf>
    <xf numFmtId="0" fontId="58" fillId="9" borderId="27" xfId="0" applyFont="1" applyFill="1" applyBorder="1" applyAlignment="1">
      <alignment horizontal="center"/>
    </xf>
    <xf numFmtId="0" fontId="55" fillId="9" borderId="26" xfId="0" applyFont="1" applyFill="1" applyBorder="1" applyAlignment="1">
      <alignment horizontal="center"/>
    </xf>
    <xf numFmtId="0" fontId="55" fillId="9" borderId="23" xfId="0" applyFont="1" applyFill="1" applyBorder="1" applyAlignment="1">
      <alignment horizontal="center"/>
    </xf>
    <xf numFmtId="0" fontId="55" fillId="9" borderId="27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0" fillId="9" borderId="17" xfId="0" applyFill="1" applyBorder="1" applyAlignment="1">
      <alignment wrapText="1"/>
    </xf>
    <xf numFmtId="0" fontId="0" fillId="9" borderId="37" xfId="0" applyFill="1" applyBorder="1" applyAlignment="1">
      <alignment wrapText="1"/>
    </xf>
    <xf numFmtId="0" fontId="56" fillId="0" borderId="28" xfId="0" applyFont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56" fillId="0" borderId="29" xfId="0" applyFont="1" applyBorder="1" applyAlignment="1">
      <alignment horizontal="center" wrapText="1"/>
    </xf>
    <xf numFmtId="0" fontId="56" fillId="0" borderId="36" xfId="0" applyFont="1" applyBorder="1" applyAlignment="1">
      <alignment horizontal="center" wrapText="1"/>
    </xf>
    <xf numFmtId="0" fontId="56" fillId="0" borderId="17" xfId="0" applyFont="1" applyBorder="1" applyAlignment="1">
      <alignment horizontal="center" wrapText="1"/>
    </xf>
    <xf numFmtId="0" fontId="56" fillId="0" borderId="37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14" fillId="11" borderId="14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9" borderId="36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14" fillId="15" borderId="23" xfId="0" applyFont="1" applyFill="1" applyBorder="1" applyAlignment="1">
      <alignment horizontal="center"/>
    </xf>
    <xf numFmtId="0" fontId="14" fillId="15" borderId="27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27" xfId="0" applyFont="1" applyFill="1" applyBorder="1" applyAlignment="1">
      <alignment horizontal="center"/>
    </xf>
    <xf numFmtId="0" fontId="22" fillId="15" borderId="36" xfId="0" applyFont="1" applyFill="1" applyBorder="1" applyAlignment="1">
      <alignment horizontal="center"/>
    </xf>
    <xf numFmtId="0" fontId="22" fillId="15" borderId="17" xfId="0" applyFont="1" applyFill="1" applyBorder="1" applyAlignment="1">
      <alignment horizontal="center"/>
    </xf>
    <xf numFmtId="0" fontId="22" fillId="15" borderId="37" xfId="0" applyFont="1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3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justify" wrapText="1"/>
    </xf>
    <xf numFmtId="0" fontId="1" fillId="0" borderId="23" xfId="0" applyFont="1" applyFill="1" applyBorder="1" applyAlignment="1">
      <alignment horizontal="center" vertical="justify" wrapText="1"/>
    </xf>
    <xf numFmtId="0" fontId="1" fillId="0" borderId="27" xfId="0" applyFont="1" applyFill="1" applyBorder="1" applyAlignment="1">
      <alignment horizontal="center" vertical="justify" wrapText="1"/>
    </xf>
    <xf numFmtId="0" fontId="1" fillId="0" borderId="28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center" vertical="justify" wrapText="1"/>
    </xf>
    <xf numFmtId="0" fontId="1" fillId="0" borderId="29" xfId="0" applyFont="1" applyFill="1" applyBorder="1" applyAlignment="1">
      <alignment horizontal="center" vertical="justify" wrapText="1"/>
    </xf>
    <xf numFmtId="0" fontId="1" fillId="0" borderId="36" xfId="0" applyFont="1" applyFill="1" applyBorder="1" applyAlignment="1">
      <alignment horizontal="center" vertical="justify" wrapText="1"/>
    </xf>
    <xf numFmtId="0" fontId="1" fillId="0" borderId="17" xfId="0" applyFont="1" applyFill="1" applyBorder="1" applyAlignment="1">
      <alignment horizontal="center" vertical="justify" wrapText="1"/>
    </xf>
    <xf numFmtId="0" fontId="1" fillId="0" borderId="37" xfId="0" applyFont="1" applyFill="1" applyBorder="1" applyAlignment="1">
      <alignment horizontal="center" vertical="justify" wrapText="1"/>
    </xf>
    <xf numFmtId="0" fontId="14" fillId="11" borderId="26" xfId="0" applyFont="1" applyFill="1" applyBorder="1" applyAlignment="1">
      <alignment horizontal="center"/>
    </xf>
    <xf numFmtId="0" fontId="14" fillId="11" borderId="23" xfId="0" applyFont="1" applyFill="1" applyBorder="1" applyAlignment="1">
      <alignment horizontal="center"/>
    </xf>
    <xf numFmtId="0" fontId="14" fillId="11" borderId="27" xfId="0" applyFont="1" applyFill="1" applyBorder="1" applyAlignment="1">
      <alignment horizontal="center"/>
    </xf>
    <xf numFmtId="0" fontId="14" fillId="11" borderId="36" xfId="0" applyFont="1" applyFill="1" applyBorder="1" applyAlignment="1">
      <alignment horizontal="center"/>
    </xf>
    <xf numFmtId="0" fontId="14" fillId="11" borderId="17" xfId="0" applyFont="1" applyFill="1" applyBorder="1" applyAlignment="1">
      <alignment horizontal="center"/>
    </xf>
    <xf numFmtId="0" fontId="14" fillId="11" borderId="37" xfId="0" applyFont="1" applyFill="1" applyBorder="1" applyAlignment="1">
      <alignment horizontal="center"/>
    </xf>
    <xf numFmtId="0" fontId="54" fillId="9" borderId="51" xfId="0" applyFont="1" applyFill="1" applyBorder="1" applyAlignment="1">
      <alignment horizontal="center"/>
    </xf>
    <xf numFmtId="0" fontId="54" fillId="9" borderId="52" xfId="0" applyFont="1" applyFill="1" applyBorder="1" applyAlignment="1">
      <alignment horizontal="center"/>
    </xf>
    <xf numFmtId="0" fontId="54" fillId="9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14" fillId="9" borderId="52" xfId="0" applyFont="1" applyFill="1" applyBorder="1" applyAlignment="1">
      <alignment horizontal="center"/>
    </xf>
    <xf numFmtId="0" fontId="14" fillId="9" borderId="53" xfId="0" applyFont="1" applyFill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2" fillId="15" borderId="26" xfId="0" applyFont="1" applyFill="1" applyBorder="1" applyAlignment="1">
      <alignment horizontal="center"/>
    </xf>
    <xf numFmtId="0" fontId="2" fillId="15" borderId="23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2" fillId="15" borderId="5" xfId="0" applyFont="1" applyFill="1" applyBorder="1" applyAlignment="1">
      <alignment horizontal="center"/>
    </xf>
    <xf numFmtId="0" fontId="22" fillId="15" borderId="6" xfId="0" applyFont="1" applyFill="1" applyBorder="1" applyAlignment="1">
      <alignment horizontal="center"/>
    </xf>
    <xf numFmtId="0" fontId="22" fillId="15" borderId="7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0" fillId="8" borderId="36" xfId="0" applyFont="1" applyFill="1" applyBorder="1" applyAlignment="1">
      <alignment horizontal="center"/>
    </xf>
    <xf numFmtId="0" fontId="40" fillId="8" borderId="17" xfId="0" applyFont="1" applyFill="1" applyBorder="1" applyAlignment="1">
      <alignment horizontal="center"/>
    </xf>
    <xf numFmtId="0" fontId="40" fillId="8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4" fillId="9" borderId="14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4" fontId="2" fillId="11" borderId="26" xfId="0" applyNumberFormat="1" applyFont="1" applyFill="1" applyBorder="1" applyAlignment="1">
      <alignment horizontal="center"/>
    </xf>
    <xf numFmtId="4" fontId="2" fillId="11" borderId="23" xfId="0" applyNumberFormat="1" applyFont="1" applyFill="1" applyBorder="1" applyAlignment="1">
      <alignment horizontal="center"/>
    </xf>
    <xf numFmtId="4" fontId="2" fillId="11" borderId="27" xfId="0" applyNumberFormat="1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40" fillId="8" borderId="26" xfId="0" applyFont="1" applyFill="1" applyBorder="1" applyAlignment="1">
      <alignment horizontal="center"/>
    </xf>
    <xf numFmtId="0" fontId="40" fillId="8" borderId="23" xfId="0" applyFont="1" applyFill="1" applyBorder="1" applyAlignment="1">
      <alignment horizontal="center"/>
    </xf>
    <xf numFmtId="0" fontId="40" fillId="8" borderId="27" xfId="0" applyFont="1" applyFill="1" applyBorder="1" applyAlignment="1">
      <alignment horizontal="center"/>
    </xf>
    <xf numFmtId="0" fontId="40" fillId="8" borderId="28" xfId="0" applyFont="1" applyFill="1" applyBorder="1" applyAlignment="1">
      <alignment horizontal="center"/>
    </xf>
    <xf numFmtId="0" fontId="40" fillId="8" borderId="0" xfId="0" applyFont="1" applyFill="1" applyBorder="1" applyAlignment="1">
      <alignment horizontal="center"/>
    </xf>
    <xf numFmtId="0" fontId="40" fillId="8" borderId="29" xfId="0" applyFont="1" applyFill="1" applyBorder="1" applyAlignment="1">
      <alignment horizontal="center"/>
    </xf>
    <xf numFmtId="4" fontId="2" fillId="15" borderId="26" xfId="0" applyNumberFormat="1" applyFont="1" applyFill="1" applyBorder="1" applyAlignment="1">
      <alignment horizontal="center"/>
    </xf>
    <xf numFmtId="4" fontId="2" fillId="15" borderId="23" xfId="0" applyNumberFormat="1" applyFont="1" applyFill="1" applyBorder="1" applyAlignment="1">
      <alignment horizontal="center"/>
    </xf>
    <xf numFmtId="4" fontId="2" fillId="15" borderId="27" xfId="0" applyNumberFormat="1" applyFont="1" applyFill="1" applyBorder="1" applyAlignment="1">
      <alignment horizontal="center"/>
    </xf>
    <xf numFmtId="0" fontId="2" fillId="15" borderId="26" xfId="0" applyFont="1" applyFill="1" applyBorder="1" applyAlignment="1">
      <alignment horizontal="left"/>
    </xf>
    <xf numFmtId="0" fontId="2" fillId="15" borderId="23" xfId="0" applyFont="1" applyFill="1" applyBorder="1" applyAlignment="1">
      <alignment horizontal="left"/>
    </xf>
    <xf numFmtId="0" fontId="2" fillId="15" borderId="27" xfId="0" applyFont="1" applyFill="1" applyBorder="1" applyAlignment="1">
      <alignment horizontal="left"/>
    </xf>
    <xf numFmtId="4" fontId="2" fillId="10" borderId="26" xfId="0" applyNumberFormat="1" applyFont="1" applyFill="1" applyBorder="1" applyAlignment="1">
      <alignment horizontal="left"/>
    </xf>
    <xf numFmtId="4" fontId="2" fillId="10" borderId="23" xfId="0" applyNumberFormat="1" applyFont="1" applyFill="1" applyBorder="1" applyAlignment="1">
      <alignment horizontal="left"/>
    </xf>
    <xf numFmtId="4" fontId="2" fillId="10" borderId="27" xfId="0" applyNumberFormat="1" applyFont="1" applyFill="1" applyBorder="1" applyAlignment="1">
      <alignment horizontal="left"/>
    </xf>
    <xf numFmtId="0" fontId="2" fillId="10" borderId="26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left"/>
    </xf>
    <xf numFmtId="0" fontId="2" fillId="10" borderId="27" xfId="0" applyFont="1" applyFill="1" applyBorder="1" applyAlignment="1">
      <alignment horizontal="left"/>
    </xf>
    <xf numFmtId="4" fontId="2" fillId="0" borderId="28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2" fillId="0" borderId="29" xfId="0" applyNumberFormat="1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2" fillId="13" borderId="5" xfId="0" applyFont="1" applyFill="1" applyBorder="1" applyAlignment="1">
      <alignment horizontal="center"/>
    </xf>
    <xf numFmtId="0" fontId="22" fillId="13" borderId="6" xfId="0" applyFont="1" applyFill="1" applyBorder="1" applyAlignment="1">
      <alignment horizontal="center"/>
    </xf>
    <xf numFmtId="0" fontId="22" fillId="13" borderId="7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11" borderId="28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3" borderId="1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1" fillId="8" borderId="0" xfId="0" applyFont="1" applyFill="1" applyBorder="1" applyAlignment="1">
      <alignment horizontal="center" vertical="justify" wrapText="1"/>
    </xf>
    <xf numFmtId="0" fontId="14" fillId="2" borderId="26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/>
    </xf>
    <xf numFmtId="0" fontId="14" fillId="12" borderId="23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22" fillId="1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54" fillId="9" borderId="26" xfId="0" applyFont="1" applyFill="1" applyBorder="1" applyAlignment="1">
      <alignment horizontal="center"/>
    </xf>
    <xf numFmtId="0" fontId="54" fillId="9" borderId="23" xfId="0" applyFont="1" applyFill="1" applyBorder="1" applyAlignment="1">
      <alignment horizontal="center"/>
    </xf>
    <xf numFmtId="0" fontId="54" fillId="9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12" borderId="26" xfId="0" applyFont="1" applyFill="1" applyBorder="1" applyAlignment="1">
      <alignment horizontal="left"/>
    </xf>
    <xf numFmtId="0" fontId="2" fillId="12" borderId="23" xfId="0" applyFont="1" applyFill="1" applyBorder="1" applyAlignment="1">
      <alignment horizontal="left"/>
    </xf>
    <xf numFmtId="0" fontId="2" fillId="12" borderId="27" xfId="0" applyFont="1" applyFill="1" applyBorder="1" applyAlignment="1">
      <alignment horizontal="left"/>
    </xf>
    <xf numFmtId="0" fontId="22" fillId="12" borderId="5" xfId="0" applyFont="1" applyFill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left"/>
    </xf>
    <xf numFmtId="0" fontId="2" fillId="13" borderId="23" xfId="0" applyFont="1" applyFill="1" applyBorder="1" applyAlignment="1">
      <alignment horizontal="left"/>
    </xf>
    <xf numFmtId="0" fontId="2" fillId="13" borderId="27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" fontId="2" fillId="12" borderId="26" xfId="0" applyNumberFormat="1" applyFont="1" applyFill="1" applyBorder="1" applyAlignment="1">
      <alignment horizontal="left"/>
    </xf>
    <xf numFmtId="4" fontId="2" fillId="12" borderId="23" xfId="0" applyNumberFormat="1" applyFont="1" applyFill="1" applyBorder="1" applyAlignment="1">
      <alignment horizontal="left"/>
    </xf>
    <xf numFmtId="4" fontId="2" fillId="12" borderId="27" xfId="0" applyNumberFormat="1" applyFont="1" applyFill="1" applyBorder="1" applyAlignment="1">
      <alignment horizontal="left"/>
    </xf>
    <xf numFmtId="4" fontId="2" fillId="11" borderId="28" xfId="0" applyNumberFormat="1" applyFont="1" applyFill="1" applyBorder="1" applyAlignment="1">
      <alignment horizontal="left"/>
    </xf>
    <xf numFmtId="4" fontId="2" fillId="11" borderId="0" xfId="0" applyNumberFormat="1" applyFont="1" applyFill="1" applyBorder="1" applyAlignment="1">
      <alignment horizontal="left"/>
    </xf>
    <xf numFmtId="4" fontId="2" fillId="11" borderId="29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left"/>
    </xf>
    <xf numFmtId="0" fontId="14" fillId="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" fontId="2" fillId="3" borderId="1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4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4" fontId="2" fillId="6" borderId="11" xfId="0" applyNumberFormat="1" applyFont="1" applyFill="1" applyBorder="1" applyAlignment="1">
      <alignment horizontal="left"/>
    </xf>
    <xf numFmtId="4" fontId="2" fillId="6" borderId="1" xfId="0" applyNumberFormat="1" applyFont="1" applyFill="1" applyBorder="1" applyAlignment="1">
      <alignment horizontal="left"/>
    </xf>
    <xf numFmtId="4" fontId="2" fillId="6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4" fillId="7" borderId="0" xfId="0" applyFont="1" applyFill="1" applyAlignment="1">
      <alignment horizontal="center"/>
    </xf>
    <xf numFmtId="4" fontId="2" fillId="7" borderId="11" xfId="0" applyNumberFormat="1" applyFont="1" applyFill="1" applyBorder="1" applyAlignment="1">
      <alignment horizontal="left"/>
    </xf>
    <xf numFmtId="4" fontId="2" fillId="7" borderId="1" xfId="0" applyNumberFormat="1" applyFont="1" applyFill="1" applyBorder="1" applyAlignment="1">
      <alignment horizontal="left"/>
    </xf>
    <xf numFmtId="4" fontId="2" fillId="7" borderId="2" xfId="0" applyNumberFormat="1" applyFont="1" applyFill="1" applyBorder="1" applyAlignment="1">
      <alignment horizontal="left"/>
    </xf>
    <xf numFmtId="4" fontId="2" fillId="7" borderId="3" xfId="0" applyNumberFormat="1" applyFont="1" applyFill="1" applyBorder="1" applyAlignment="1">
      <alignment horizontal="left"/>
    </xf>
    <xf numFmtId="4" fontId="2" fillId="7" borderId="0" xfId="0" applyNumberFormat="1" applyFont="1" applyFill="1" applyBorder="1" applyAlignment="1">
      <alignment horizontal="left"/>
    </xf>
    <xf numFmtId="4" fontId="2" fillId="7" borderId="4" xfId="0" applyNumberFormat="1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4" fontId="2" fillId="2" borderId="1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2" fillId="0" borderId="23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14" xfId="0" applyFont="1" applyFill="1" applyBorder="1" applyAlignment="1">
      <alignment horizontal="left"/>
    </xf>
    <xf numFmtId="0" fontId="30" fillId="0" borderId="15" xfId="0" applyFont="1" applyFill="1" applyBorder="1" applyAlignment="1">
      <alignment horizontal="left"/>
    </xf>
    <xf numFmtId="0" fontId="30" fillId="0" borderId="18" xfId="0" applyFont="1" applyFill="1" applyBorder="1" applyAlignment="1">
      <alignment horizontal="left"/>
    </xf>
    <xf numFmtId="0" fontId="30" fillId="0" borderId="14" xfId="0" applyFont="1" applyFill="1" applyBorder="1" applyAlignment="1"/>
    <xf numFmtId="0" fontId="30" fillId="0" borderId="15" xfId="0" applyFont="1" applyFill="1" applyBorder="1" applyAlignment="1"/>
    <xf numFmtId="0" fontId="30" fillId="0" borderId="16" xfId="0" applyFont="1" applyFill="1" applyBorder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1" fillId="0" borderId="5" xfId="1" applyFont="1" applyBorder="1" applyAlignment="1">
      <alignment horizontal="left" wrapText="1"/>
    </xf>
    <xf numFmtId="0" fontId="41" fillId="0" borderId="6" xfId="1" applyFont="1" applyBorder="1" applyAlignment="1">
      <alignment horizontal="left" wrapText="1"/>
    </xf>
    <xf numFmtId="0" fontId="41" fillId="0" borderId="7" xfId="1" applyFont="1" applyBorder="1" applyAlignment="1">
      <alignment horizontal="left" wrapText="1"/>
    </xf>
    <xf numFmtId="0" fontId="46" fillId="0" borderId="20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164" fontId="38" fillId="0" borderId="0" xfId="0" applyNumberFormat="1" applyFont="1" applyFill="1" applyAlignment="1">
      <alignment horizontal="center"/>
    </xf>
    <xf numFmtId="0" fontId="44" fillId="0" borderId="19" xfId="4" applyFont="1" applyBorder="1" applyAlignment="1">
      <alignment horizontal="center"/>
    </xf>
    <xf numFmtId="0" fontId="44" fillId="0" borderId="12" xfId="4" applyFont="1" applyBorder="1" applyAlignment="1">
      <alignment horizontal="center"/>
    </xf>
    <xf numFmtId="0" fontId="41" fillId="0" borderId="12" xfId="4" applyFont="1" applyBorder="1" applyAlignment="1">
      <alignment horizontal="center"/>
    </xf>
    <xf numFmtId="164" fontId="44" fillId="0" borderId="1" xfId="4" applyNumberFormat="1" applyFont="1" applyBorder="1" applyAlignment="1">
      <alignment horizontal="center"/>
    </xf>
    <xf numFmtId="164" fontId="41" fillId="0" borderId="6" xfId="4" applyNumberFormat="1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5" fillId="0" borderId="24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164" fontId="41" fillId="0" borderId="6" xfId="0" applyNumberFormat="1" applyFont="1" applyFill="1" applyBorder="1" applyAlignment="1">
      <alignment horizontal="center"/>
    </xf>
    <xf numFmtId="164" fontId="41" fillId="0" borderId="7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41" fillId="0" borderId="5" xfId="1" applyFont="1" applyFill="1" applyBorder="1" applyAlignment="1">
      <alignment horizontal="left" wrapText="1"/>
    </xf>
    <xf numFmtId="0" fontId="41" fillId="0" borderId="6" xfId="1" applyFont="1" applyFill="1" applyBorder="1" applyAlignment="1">
      <alignment horizontal="left" wrapText="1"/>
    </xf>
    <xf numFmtId="0" fontId="41" fillId="0" borderId="7" xfId="1" applyFont="1" applyFill="1" applyBorder="1" applyAlignment="1">
      <alignment horizontal="left" wrapText="1"/>
    </xf>
    <xf numFmtId="0" fontId="46" fillId="0" borderId="3" xfId="0" applyFont="1" applyBorder="1" applyAlignment="1">
      <alignment horizontal="center"/>
    </xf>
    <xf numFmtId="0" fontId="46" fillId="0" borderId="0" xfId="0" applyFont="1" applyAlignment="1">
      <alignment horizontal="center"/>
    </xf>
    <xf numFmtId="44" fontId="0" fillId="0" borderId="0" xfId="0" applyNumberFormat="1"/>
  </cellXfs>
  <cellStyles count="6">
    <cellStyle name="Currency" xfId="5" builtinId="4"/>
    <cellStyle name="Normal" xfId="0" builtinId="0"/>
    <cellStyle name="Normal 2" xfId="1"/>
    <cellStyle name="Normal 3" xfId="2"/>
    <cellStyle name="Normal 5" xfId="3"/>
    <cellStyle name="Normal 6" xfId="4"/>
  </cellStyles>
  <dxfs count="0"/>
  <tableStyles count="0" defaultTableStyle="TableStyleMedium9" defaultPivotStyle="PivotStyleLight16"/>
  <colors>
    <mruColors>
      <color rgb="FFFFFF99"/>
      <color rgb="FFFFCCFF"/>
      <color rgb="FFCCCCFF"/>
      <color rgb="FFCC99FF"/>
      <color rgb="FFCC66FF"/>
      <color rgb="FFFF66FF"/>
      <color rgb="FFFF99FF"/>
      <color rgb="FF99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133349</xdr:rowOff>
    </xdr:from>
    <xdr:to>
      <xdr:col>9</xdr:col>
      <xdr:colOff>200025</xdr:colOff>
      <xdr:row>102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94" r="28817" b="7082"/>
        <a:stretch/>
      </xdr:blipFill>
      <xdr:spPr bwMode="auto">
        <a:xfrm>
          <a:off x="19050" y="10944224"/>
          <a:ext cx="6762750" cy="918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W56"/>
  <sheetViews>
    <sheetView topLeftCell="B1" workbookViewId="0">
      <selection activeCell="N12" sqref="N12"/>
    </sheetView>
  </sheetViews>
  <sheetFormatPr defaultRowHeight="15" x14ac:dyDescent="0.25"/>
  <cols>
    <col min="1" max="1" width="16.28515625" customWidth="1"/>
    <col min="2" max="2" width="11" customWidth="1"/>
    <col min="3" max="3" width="11.7109375" customWidth="1"/>
    <col min="4" max="4" width="8.5703125" customWidth="1"/>
    <col min="5" max="5" width="14.140625" customWidth="1"/>
    <col min="6" max="7" width="8.7109375" customWidth="1"/>
    <col min="8" max="8" width="8.42578125" customWidth="1"/>
    <col min="9" max="9" width="13.5703125" customWidth="1"/>
    <col min="10" max="10" width="7.7109375" style="15" customWidth="1"/>
    <col min="11" max="11" width="15.28515625" style="15" customWidth="1"/>
    <col min="12" max="12" width="9.28515625" customWidth="1"/>
    <col min="13" max="13" width="9.140625" customWidth="1"/>
    <col min="14" max="14" width="10.140625" customWidth="1"/>
    <col min="15" max="15" width="12.85546875" customWidth="1"/>
  </cols>
  <sheetData>
    <row r="1" spans="1:23" ht="30" customHeight="1" thickBot="1" x14ac:dyDescent="0.3">
      <c r="A1" s="743" t="s">
        <v>250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5"/>
    </row>
    <row r="2" spans="1:23" x14ac:dyDescent="0.25"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</row>
    <row r="3" spans="1:23" ht="16.5" thickBot="1" x14ac:dyDescent="0.3">
      <c r="B3" s="650"/>
      <c r="C3" s="650"/>
      <c r="D3" s="650"/>
      <c r="E3" s="650"/>
      <c r="F3" s="650"/>
      <c r="G3" s="650"/>
      <c r="H3" s="650"/>
      <c r="I3" s="650"/>
      <c r="J3" s="587"/>
      <c r="K3" s="650"/>
      <c r="L3" s="650"/>
      <c r="M3" s="650"/>
      <c r="N3" s="650"/>
    </row>
    <row r="4" spans="1:23" ht="19.5" customHeight="1" x14ac:dyDescent="0.3">
      <c r="A4" s="717" t="s">
        <v>225</v>
      </c>
      <c r="B4" s="718"/>
      <c r="C4" s="719"/>
      <c r="D4" s="670"/>
      <c r="E4" s="756" t="s">
        <v>244</v>
      </c>
      <c r="F4" s="757"/>
      <c r="G4" s="757"/>
      <c r="H4" s="757"/>
      <c r="I4" s="758"/>
      <c r="J4" s="588" t="s">
        <v>206</v>
      </c>
      <c r="K4" s="759" t="s">
        <v>243</v>
      </c>
      <c r="L4" s="760"/>
      <c r="M4" s="760"/>
      <c r="N4" s="760"/>
      <c r="O4" s="761"/>
      <c r="P4" s="480"/>
      <c r="Q4" s="480"/>
      <c r="R4" s="480"/>
      <c r="S4" s="480"/>
      <c r="T4" s="480"/>
      <c r="U4" s="480"/>
      <c r="V4" s="480"/>
      <c r="W4" s="480"/>
    </row>
    <row r="5" spans="1:23" ht="19.5" customHeight="1" thickBot="1" x14ac:dyDescent="0.3">
      <c r="A5" s="754"/>
      <c r="B5" s="729"/>
      <c r="C5" s="730"/>
      <c r="D5" s="670"/>
      <c r="E5" s="762" t="s">
        <v>242</v>
      </c>
      <c r="F5" s="763"/>
      <c r="G5" s="763"/>
      <c r="H5" s="763"/>
      <c r="I5" s="764"/>
      <c r="J5" s="589"/>
      <c r="K5" s="765" t="s">
        <v>251</v>
      </c>
      <c r="L5" s="766"/>
      <c r="M5" s="766"/>
      <c r="N5" s="766"/>
      <c r="O5" s="767"/>
      <c r="P5" s="517"/>
      <c r="Q5" s="517"/>
      <c r="R5" s="517"/>
      <c r="S5" s="517"/>
      <c r="T5" s="517"/>
      <c r="U5" s="517"/>
      <c r="V5" s="517"/>
      <c r="W5" s="517"/>
    </row>
    <row r="6" spans="1:23" ht="19.5" customHeight="1" thickBot="1" x14ac:dyDescent="0.3">
      <c r="A6" s="731" t="s">
        <v>245</v>
      </c>
      <c r="B6" s="732"/>
      <c r="C6" s="733"/>
      <c r="D6" s="15"/>
      <c r="E6" s="480"/>
      <c r="F6" s="518"/>
      <c r="G6" s="518"/>
      <c r="H6" s="518"/>
      <c r="I6" s="518"/>
      <c r="J6" s="590"/>
      <c r="K6" s="510"/>
      <c r="O6" s="517"/>
      <c r="P6" s="517"/>
      <c r="Q6" s="517"/>
      <c r="R6" s="517"/>
      <c r="S6" s="517"/>
      <c r="T6" s="517"/>
      <c r="U6" s="517"/>
      <c r="V6" s="517"/>
      <c r="W6" s="517"/>
    </row>
    <row r="7" spans="1:23" ht="15.75" thickBot="1" x14ac:dyDescent="0.3">
      <c r="A7" s="734"/>
      <c r="B7" s="735"/>
      <c r="C7" s="736"/>
      <c r="D7" s="671"/>
      <c r="E7" s="746" t="s">
        <v>223</v>
      </c>
      <c r="F7" s="747"/>
      <c r="G7" s="747"/>
      <c r="H7" s="747"/>
      <c r="I7" s="748"/>
      <c r="J7" s="591" t="s">
        <v>206</v>
      </c>
      <c r="K7" s="749" t="s">
        <v>223</v>
      </c>
      <c r="L7" s="750"/>
      <c r="M7" s="750"/>
      <c r="N7" s="750"/>
      <c r="O7" s="751"/>
    </row>
    <row r="8" spans="1:23" x14ac:dyDescent="0.25">
      <c r="A8" s="714" t="s">
        <v>227</v>
      </c>
      <c r="B8" s="636" t="s">
        <v>228</v>
      </c>
      <c r="C8" s="638" t="s">
        <v>229</v>
      </c>
      <c r="D8" s="667"/>
      <c r="E8" s="651"/>
      <c r="F8" s="752"/>
      <c r="G8" s="752"/>
      <c r="H8" s="752"/>
      <c r="I8" s="753"/>
      <c r="J8" s="648"/>
      <c r="K8" s="647"/>
      <c r="L8" s="752"/>
      <c r="M8" s="752"/>
      <c r="N8" s="752"/>
      <c r="O8" s="753"/>
    </row>
    <row r="9" spans="1:23" ht="15.75" thickBot="1" x14ac:dyDescent="0.3">
      <c r="A9" s="715"/>
      <c r="B9" s="639">
        <v>40360</v>
      </c>
      <c r="C9" s="640">
        <v>40360</v>
      </c>
      <c r="D9" s="669"/>
      <c r="E9" s="651"/>
      <c r="F9" s="582"/>
      <c r="G9" s="737" t="s">
        <v>215</v>
      </c>
      <c r="H9" s="738"/>
      <c r="I9" s="482"/>
      <c r="J9" s="648"/>
      <c r="K9" s="647"/>
      <c r="L9" s="582"/>
      <c r="M9" s="739" t="s">
        <v>215</v>
      </c>
      <c r="N9" s="739"/>
      <c r="O9" s="482"/>
    </row>
    <row r="10" spans="1:23" ht="15.75" thickBot="1" x14ac:dyDescent="0.3">
      <c r="A10" s="696"/>
      <c r="B10" s="697"/>
      <c r="C10" s="698"/>
      <c r="D10" s="740"/>
      <c r="E10" s="652"/>
      <c r="F10" s="593"/>
      <c r="G10" s="741" t="s">
        <v>237</v>
      </c>
      <c r="H10" s="741" t="s">
        <v>238</v>
      </c>
      <c r="I10" s="484" t="s">
        <v>26</v>
      </c>
      <c r="J10" s="175"/>
      <c r="K10" s="663"/>
      <c r="L10" s="592"/>
      <c r="M10" s="741" t="s">
        <v>235</v>
      </c>
      <c r="N10" s="741" t="s">
        <v>239</v>
      </c>
      <c r="O10" s="484" t="s">
        <v>26</v>
      </c>
    </row>
    <row r="11" spans="1:23" ht="25.5" customHeight="1" thickBot="1" x14ac:dyDescent="0.3">
      <c r="A11" s="606" t="s">
        <v>230</v>
      </c>
      <c r="B11" s="607">
        <f>SUM(331.99*24)/19</f>
        <v>419.35578947368424</v>
      </c>
      <c r="C11" s="608">
        <f>SUM(87.4*24)/19</f>
        <v>110.40000000000002</v>
      </c>
      <c r="D11" s="740"/>
      <c r="E11" s="652"/>
      <c r="F11" s="584"/>
      <c r="G11" s="742"/>
      <c r="H11" s="742"/>
      <c r="I11" s="486"/>
      <c r="J11" s="112"/>
      <c r="K11" s="664"/>
      <c r="L11" s="594"/>
      <c r="M11" s="742"/>
      <c r="N11" s="742"/>
      <c r="O11" s="661"/>
      <c r="P11" s="65"/>
    </row>
    <row r="12" spans="1:23" ht="15.75" thickBot="1" x14ac:dyDescent="0.3">
      <c r="A12" s="609"/>
      <c r="B12" s="610"/>
      <c r="C12" s="611"/>
      <c r="D12" s="566"/>
      <c r="E12" s="653" t="s">
        <v>217</v>
      </c>
      <c r="F12" s="584" t="s">
        <v>3</v>
      </c>
      <c r="G12" s="684">
        <f>SUM(I12/19)*0.44</f>
        <v>473.55208421052635</v>
      </c>
      <c r="H12" s="684">
        <f>SUM(I12/19)*0.56</f>
        <v>602.7026526315791</v>
      </c>
      <c r="I12" s="654">
        <f>(1704.07*12)</f>
        <v>20448.84</v>
      </c>
      <c r="J12" s="114"/>
      <c r="K12" s="653" t="s">
        <v>217</v>
      </c>
      <c r="L12" s="584" t="s">
        <v>3</v>
      </c>
      <c r="M12" s="684">
        <f>(O12/19)-N12</f>
        <v>421.36623157894735</v>
      </c>
      <c r="N12" s="685">
        <f>SUM(O12*0.56)/19</f>
        <v>536.28429473684218</v>
      </c>
      <c r="O12" s="654">
        <f>(1516.28*12)</f>
        <v>18195.36</v>
      </c>
      <c r="Q12" s="479" t="s">
        <v>157</v>
      </c>
    </row>
    <row r="13" spans="1:23" ht="15.75" thickBot="1" x14ac:dyDescent="0.3">
      <c r="A13" s="606" t="s">
        <v>231</v>
      </c>
      <c r="B13" s="612">
        <f>SUM(288.83*24)/19</f>
        <v>364.83789473684209</v>
      </c>
      <c r="C13" s="611">
        <f>SUM(76.04*24)/19</f>
        <v>96.050526315789469</v>
      </c>
      <c r="D13" s="566"/>
      <c r="E13" s="653"/>
      <c r="F13" s="584" t="s">
        <v>2</v>
      </c>
      <c r="G13" s="685">
        <f>(I13*6.6%)/19</f>
        <v>31.329018947368425</v>
      </c>
      <c r="H13" s="684">
        <f>SUM(I13/19)-G13</f>
        <v>443.35308631578954</v>
      </c>
      <c r="I13" s="655">
        <f>(751.58*12)</f>
        <v>9018.9600000000009</v>
      </c>
      <c r="J13" s="117"/>
      <c r="K13" s="653"/>
      <c r="L13" s="584" t="s">
        <v>2</v>
      </c>
      <c r="M13" s="685">
        <v>0</v>
      </c>
      <c r="N13" s="685">
        <f>SUM(O13/19)</f>
        <v>422.37473684210528</v>
      </c>
      <c r="O13" s="655">
        <f>(668.76*12)</f>
        <v>8025.12</v>
      </c>
      <c r="P13" s="84"/>
    </row>
    <row r="14" spans="1:23" ht="15.75" thickBot="1" x14ac:dyDescent="0.3">
      <c r="A14" s="613"/>
      <c r="B14" s="610"/>
      <c r="C14" s="611"/>
      <c r="D14" s="61"/>
      <c r="E14" s="653"/>
      <c r="F14" s="584"/>
      <c r="G14" s="586"/>
      <c r="H14" s="586"/>
      <c r="I14" s="656"/>
      <c r="J14" s="156"/>
      <c r="K14" s="653"/>
      <c r="L14" s="584"/>
      <c r="M14" s="586"/>
      <c r="N14" s="586"/>
      <c r="O14" s="656"/>
      <c r="P14" s="84"/>
    </row>
    <row r="15" spans="1:23" ht="15.75" thickBot="1" x14ac:dyDescent="0.3">
      <c r="A15" s="606" t="s">
        <v>232</v>
      </c>
      <c r="B15" s="612">
        <f>SUM(248.99*24)/19</f>
        <v>314.51368421052632</v>
      </c>
      <c r="C15" s="611">
        <f>SUM(65.55*24)/19</f>
        <v>82.8</v>
      </c>
      <c r="D15" s="566"/>
      <c r="E15" s="653" t="s">
        <v>218</v>
      </c>
      <c r="F15" s="584" t="s">
        <v>3</v>
      </c>
      <c r="G15" s="684">
        <f>SUM(I15/19)*0.5</f>
        <v>538.12736842105267</v>
      </c>
      <c r="H15" s="684">
        <f>SUM(I15/19)*0.5</f>
        <v>538.12736842105267</v>
      </c>
      <c r="I15" s="654">
        <f>I12</f>
        <v>20448.84</v>
      </c>
      <c r="J15" s="114"/>
      <c r="K15" s="653" t="s">
        <v>218</v>
      </c>
      <c r="L15" s="584" t="s">
        <v>3</v>
      </c>
      <c r="M15" s="685">
        <f>SUM(O15/19)*0.5</f>
        <v>478.82526315789477</v>
      </c>
      <c r="N15" s="685">
        <f>SUM(O15/19)*0.5</f>
        <v>478.82526315789477</v>
      </c>
      <c r="O15" s="654">
        <f>O12</f>
        <v>18195.36</v>
      </c>
      <c r="P15" s="84"/>
      <c r="Q15" s="283">
        <v>0.87</v>
      </c>
    </row>
    <row r="16" spans="1:23" ht="15.75" thickBot="1" x14ac:dyDescent="0.3">
      <c r="A16" s="560"/>
      <c r="B16" s="610"/>
      <c r="C16" s="611"/>
      <c r="D16" s="566"/>
      <c r="E16" s="653"/>
      <c r="F16" s="584" t="s">
        <v>2</v>
      </c>
      <c r="G16" s="684">
        <f>(I16/19)-H16</f>
        <v>88.964920168421031</v>
      </c>
      <c r="H16" s="684">
        <f>SUM(H13*0.87)</f>
        <v>385.71718509473692</v>
      </c>
      <c r="I16" s="655">
        <f>I13</f>
        <v>9018.9600000000009</v>
      </c>
      <c r="J16" s="117"/>
      <c r="K16" s="653"/>
      <c r="L16" s="584" t="s">
        <v>2</v>
      </c>
      <c r="M16" s="684">
        <f>(O16/19)-N16</f>
        <v>54.908715789473661</v>
      </c>
      <c r="N16" s="685">
        <f>SUM(N13*0.87)</f>
        <v>367.46602105263162</v>
      </c>
      <c r="O16" s="655">
        <f>O13</f>
        <v>8025.12</v>
      </c>
      <c r="P16" s="84"/>
    </row>
    <row r="17" spans="1:22" ht="15.75" thickBot="1" x14ac:dyDescent="0.3">
      <c r="A17" s="606" t="s">
        <v>233</v>
      </c>
      <c r="B17" s="610">
        <f>SUM(205.83*24)/19</f>
        <v>259.99578947368423</v>
      </c>
      <c r="C17" s="611">
        <f>SUM(54.19*24)/19</f>
        <v>68.450526315789475</v>
      </c>
      <c r="D17" s="566"/>
      <c r="E17" s="653"/>
      <c r="F17" s="584"/>
      <c r="G17" s="585"/>
      <c r="H17" s="585"/>
      <c r="I17" s="655"/>
      <c r="J17" s="117"/>
      <c r="K17" s="653"/>
      <c r="L17" s="584"/>
      <c r="M17" s="585"/>
      <c r="N17" s="585"/>
      <c r="O17" s="655"/>
      <c r="P17" s="84"/>
    </row>
    <row r="18" spans="1:22" ht="15.75" thickBot="1" x14ac:dyDescent="0.3">
      <c r="A18" s="609"/>
      <c r="B18" s="610"/>
      <c r="C18" s="611"/>
      <c r="D18" s="566"/>
      <c r="E18" s="653" t="s">
        <v>219</v>
      </c>
      <c r="F18" s="584" t="s">
        <v>3</v>
      </c>
      <c r="G18" s="684">
        <f>SUM(I18/19)*0.5</f>
        <v>538.12736842105267</v>
      </c>
      <c r="H18" s="684">
        <f>SUM(I18/19)*0.5</f>
        <v>538.12736842105267</v>
      </c>
      <c r="I18" s="654">
        <f>I12</f>
        <v>20448.84</v>
      </c>
      <c r="J18" s="114"/>
      <c r="K18" s="653" t="s">
        <v>219</v>
      </c>
      <c r="L18" s="584" t="s">
        <v>3</v>
      </c>
      <c r="M18" s="685">
        <f>SUM(O18/19)*0.5</f>
        <v>478.82526315789477</v>
      </c>
      <c r="N18" s="685">
        <f>SUM(O18/19)*0.5</f>
        <v>478.82526315789477</v>
      </c>
      <c r="O18" s="654">
        <f>O12</f>
        <v>18195.36</v>
      </c>
      <c r="P18" s="84"/>
      <c r="Q18" s="283">
        <v>0.75</v>
      </c>
      <c r="R18" t="s">
        <v>182</v>
      </c>
    </row>
    <row r="19" spans="1:22" ht="15.75" thickBot="1" x14ac:dyDescent="0.3">
      <c r="A19" s="606" t="s">
        <v>234</v>
      </c>
      <c r="B19" s="614">
        <f>SUM(166*24)/19</f>
        <v>209.68421052631578</v>
      </c>
      <c r="C19" s="615">
        <f>SUM(43.7*24)/19</f>
        <v>55.20000000000001</v>
      </c>
      <c r="D19" s="566"/>
      <c r="E19" s="653"/>
      <c r="F19" s="584" t="s">
        <v>2</v>
      </c>
      <c r="G19" s="684">
        <f>(I19/19)-H19</f>
        <v>142.16729052631581</v>
      </c>
      <c r="H19" s="684">
        <f>SUM(H13*0.75)</f>
        <v>332.51481473684214</v>
      </c>
      <c r="I19" s="655">
        <f>I13</f>
        <v>9018.9600000000009</v>
      </c>
      <c r="J19" s="117"/>
      <c r="K19" s="653"/>
      <c r="L19" s="584" t="s">
        <v>2</v>
      </c>
      <c r="M19" s="684">
        <f>(O19/19)-N19</f>
        <v>105.59368421052631</v>
      </c>
      <c r="N19" s="685">
        <f>SUM(N13*0.75)</f>
        <v>316.78105263157897</v>
      </c>
      <c r="O19" s="655">
        <f>O13</f>
        <v>8025.12</v>
      </c>
      <c r="P19" s="84"/>
      <c r="R19" t="s">
        <v>181</v>
      </c>
    </row>
    <row r="20" spans="1:22" ht="16.5" thickBot="1" x14ac:dyDescent="0.3">
      <c r="A20" s="670"/>
      <c r="B20" s="670"/>
      <c r="C20" s="670"/>
      <c r="D20" s="566"/>
      <c r="E20" s="653"/>
      <c r="F20" s="584"/>
      <c r="G20" s="585"/>
      <c r="H20" s="585"/>
      <c r="I20" s="655"/>
      <c r="J20" s="117"/>
      <c r="K20" s="653"/>
      <c r="L20" s="584"/>
      <c r="M20" s="585"/>
      <c r="N20" s="585"/>
      <c r="O20" s="655"/>
      <c r="P20" s="84"/>
      <c r="Q20" s="283" t="s">
        <v>206</v>
      </c>
      <c r="R20" s="716" t="s">
        <v>210</v>
      </c>
      <c r="S20" s="716"/>
      <c r="T20" s="716"/>
      <c r="U20" s="716"/>
      <c r="V20" s="716"/>
    </row>
    <row r="21" spans="1:22" ht="18.75" customHeight="1" x14ac:dyDescent="0.3">
      <c r="A21" s="720" t="s">
        <v>225</v>
      </c>
      <c r="B21" s="721"/>
      <c r="C21" s="722"/>
      <c r="D21" s="566"/>
      <c r="E21" s="653" t="s">
        <v>220</v>
      </c>
      <c r="F21" s="584" t="s">
        <v>3</v>
      </c>
      <c r="G21" s="684">
        <f>SUM(I21/19)*0.5</f>
        <v>538.12736842105267</v>
      </c>
      <c r="H21" s="684">
        <f>SUM(I21/19)*0.5</f>
        <v>538.12736842105267</v>
      </c>
      <c r="I21" s="654">
        <f>I12</f>
        <v>20448.84</v>
      </c>
      <c r="J21" s="114"/>
      <c r="K21" s="653" t="s">
        <v>220</v>
      </c>
      <c r="L21" s="584" t="s">
        <v>3</v>
      </c>
      <c r="M21" s="685">
        <f>SUM(O21/19)*0.5</f>
        <v>478.82526315789477</v>
      </c>
      <c r="N21" s="685">
        <f>SUM(O21/19)*0.5</f>
        <v>478.82526315789477</v>
      </c>
      <c r="O21" s="654">
        <f>O12</f>
        <v>18195.36</v>
      </c>
      <c r="P21" s="84"/>
      <c r="Q21" s="283">
        <v>0.62</v>
      </c>
    </row>
    <row r="22" spans="1:22" ht="15.75" thickBot="1" x14ac:dyDescent="0.3">
      <c r="A22" s="668"/>
      <c r="B22" s="729"/>
      <c r="C22" s="730"/>
      <c r="D22" s="566"/>
      <c r="E22" s="653"/>
      <c r="F22" s="584" t="s">
        <v>2</v>
      </c>
      <c r="G22" s="684">
        <f>(I22/19)-H22</f>
        <v>199.80319174736843</v>
      </c>
      <c r="H22" s="684">
        <f>SUM(H13*0.62)</f>
        <v>274.87891351578952</v>
      </c>
      <c r="I22" s="655">
        <f>I13</f>
        <v>9018.9600000000009</v>
      </c>
      <c r="J22" s="117"/>
      <c r="K22" s="653"/>
      <c r="L22" s="584" t="s">
        <v>2</v>
      </c>
      <c r="M22" s="684">
        <f>(O22/19)-N22</f>
        <v>160.50240000000002</v>
      </c>
      <c r="N22" s="685">
        <f>SUM(N13*0.62)</f>
        <v>261.87233684210526</v>
      </c>
      <c r="O22" s="655">
        <f>O13</f>
        <v>8025.12</v>
      </c>
      <c r="P22" s="84"/>
    </row>
    <row r="23" spans="1:22" x14ac:dyDescent="0.25">
      <c r="A23" s="708" t="s">
        <v>236</v>
      </c>
      <c r="B23" s="709"/>
      <c r="C23" s="710"/>
      <c r="D23" s="566"/>
      <c r="E23" s="653"/>
      <c r="F23" s="584"/>
      <c r="G23" s="585"/>
      <c r="H23" s="585"/>
      <c r="I23" s="655"/>
      <c r="J23" s="117"/>
      <c r="K23" s="609"/>
      <c r="L23" s="595"/>
      <c r="M23" s="596"/>
      <c r="N23" s="596"/>
      <c r="O23" s="655"/>
      <c r="P23" s="84"/>
    </row>
    <row r="24" spans="1:22" ht="15.75" thickBot="1" x14ac:dyDescent="0.3">
      <c r="A24" s="711"/>
      <c r="B24" s="712"/>
      <c r="C24" s="713"/>
      <c r="D24" s="566"/>
      <c r="E24" s="653" t="s">
        <v>221</v>
      </c>
      <c r="F24" s="584" t="s">
        <v>3</v>
      </c>
      <c r="G24" s="684">
        <f>SUM(I24/19)*0.5</f>
        <v>538.12736842105267</v>
      </c>
      <c r="H24" s="684">
        <f>SUM(I24/19)*0.5</f>
        <v>538.12736842105267</v>
      </c>
      <c r="I24" s="654">
        <f>I12</f>
        <v>20448.84</v>
      </c>
      <c r="J24" s="114"/>
      <c r="K24" s="653" t="s">
        <v>221</v>
      </c>
      <c r="L24" s="584" t="s">
        <v>3</v>
      </c>
      <c r="M24" s="685">
        <f>SUM(O24/19)*0.5</f>
        <v>478.82526315789477</v>
      </c>
      <c r="N24" s="685">
        <f>SUM(O24/19)*0.5</f>
        <v>478.82526315789477</v>
      </c>
      <c r="O24" s="654">
        <f>O12</f>
        <v>18195.36</v>
      </c>
      <c r="P24" s="84"/>
      <c r="Q24" s="283">
        <v>0.5</v>
      </c>
    </row>
    <row r="25" spans="1:22" ht="15.75" thickBot="1" x14ac:dyDescent="0.3">
      <c r="A25" s="714" t="s">
        <v>227</v>
      </c>
      <c r="B25" s="636" t="s">
        <v>228</v>
      </c>
      <c r="C25" s="636" t="s">
        <v>229</v>
      </c>
      <c r="D25" s="566"/>
      <c r="E25" s="657"/>
      <c r="F25" s="658" t="s">
        <v>2</v>
      </c>
      <c r="G25" s="686">
        <f>SUM(G22+H22)-H25</f>
        <v>237.34105263157898</v>
      </c>
      <c r="H25" s="686">
        <f>SUM(G13+H13)*0.5</f>
        <v>237.34105263157898</v>
      </c>
      <c r="I25" s="655">
        <f>I13</f>
        <v>9018.9600000000009</v>
      </c>
      <c r="J25" s="117"/>
      <c r="K25" s="657"/>
      <c r="L25" s="658" t="s">
        <v>2</v>
      </c>
      <c r="M25" s="684">
        <f>(O25/19)-N25</f>
        <v>211.18736842105264</v>
      </c>
      <c r="N25" s="687">
        <f>SUM(N13*0.5)</f>
        <v>211.18736842105264</v>
      </c>
      <c r="O25" s="655">
        <f>O13</f>
        <v>8025.12</v>
      </c>
      <c r="P25" s="84"/>
    </row>
    <row r="26" spans="1:22" ht="15.75" thickBot="1" x14ac:dyDescent="0.3">
      <c r="A26" s="715"/>
      <c r="B26" s="637">
        <v>39630</v>
      </c>
      <c r="C26" s="637">
        <v>39630</v>
      </c>
      <c r="D26" s="61"/>
      <c r="E26" s="117"/>
      <c r="F26" s="106"/>
      <c r="G26" s="61"/>
      <c r="H26" s="598" t="s">
        <v>206</v>
      </c>
      <c r="I26" s="156"/>
      <c r="J26" s="156"/>
      <c r="K26" s="156"/>
      <c r="L26" s="106"/>
      <c r="M26" s="61"/>
      <c r="N26" s="61"/>
      <c r="O26" s="644"/>
      <c r="P26" s="84"/>
    </row>
    <row r="27" spans="1:22" ht="15.75" thickBot="1" x14ac:dyDescent="0.3">
      <c r="A27" s="696"/>
      <c r="B27" s="697"/>
      <c r="C27" s="698"/>
      <c r="D27" s="256"/>
      <c r="F27" s="573" t="s">
        <v>206</v>
      </c>
      <c r="G27" s="723" t="s">
        <v>144</v>
      </c>
      <c r="H27" s="724"/>
      <c r="I27" s="725"/>
      <c r="J27" s="158"/>
      <c r="K27" s="158"/>
      <c r="M27" s="726" t="s">
        <v>144</v>
      </c>
      <c r="N27" s="727"/>
      <c r="O27" s="728"/>
      <c r="P27" s="84"/>
      <c r="Q27" s="283"/>
      <c r="R27" t="s">
        <v>206</v>
      </c>
    </row>
    <row r="28" spans="1:22" ht="16.5" customHeight="1" thickBot="1" x14ac:dyDescent="0.3">
      <c r="A28" s="606" t="s">
        <v>230</v>
      </c>
      <c r="B28" s="607">
        <f>SUM(331.99*24)/19</f>
        <v>419.35578947368424</v>
      </c>
      <c r="C28" s="608">
        <f>SUM(87.4*24)/19</f>
        <v>110.40000000000002</v>
      </c>
      <c r="D28" s="256"/>
      <c r="F28" s="125"/>
      <c r="G28" s="623"/>
      <c r="H28" s="624" t="s">
        <v>202</v>
      </c>
      <c r="I28" s="625" t="s">
        <v>5</v>
      </c>
      <c r="J28" s="157"/>
      <c r="K28" s="157"/>
      <c r="M28" s="623"/>
      <c r="N28" s="624" t="s">
        <v>202</v>
      </c>
      <c r="O28" s="625" t="s">
        <v>5</v>
      </c>
      <c r="P28" s="84"/>
      <c r="Q28" s="283"/>
    </row>
    <row r="29" spans="1:22" ht="15" customHeight="1" thickBot="1" x14ac:dyDescent="0.3">
      <c r="A29" s="609"/>
      <c r="B29" s="610"/>
      <c r="C29" s="611"/>
      <c r="D29" s="256"/>
      <c r="F29" s="583"/>
      <c r="G29" s="487" t="s">
        <v>3</v>
      </c>
      <c r="H29" s="683">
        <v>3300</v>
      </c>
      <c r="I29" s="665">
        <f>SUM(H29/19)</f>
        <v>173.68421052631578</v>
      </c>
      <c r="J29" s="156"/>
      <c r="K29" s="156"/>
      <c r="M29" s="487" t="s">
        <v>3</v>
      </c>
      <c r="N29" s="682">
        <v>4203.8599999999997</v>
      </c>
      <c r="O29" s="665">
        <f>SUM(N29/19)</f>
        <v>221.25578947368419</v>
      </c>
      <c r="P29" s="84"/>
    </row>
    <row r="30" spans="1:22" ht="15.75" customHeight="1" thickBot="1" x14ac:dyDescent="0.3">
      <c r="A30" s="606" t="s">
        <v>231</v>
      </c>
      <c r="B30" s="612">
        <f>SUM(288.83*24)/19</f>
        <v>364.83789473684209</v>
      </c>
      <c r="C30" s="611">
        <f>SUM(76.04*24)/19</f>
        <v>96.050526315789469</v>
      </c>
      <c r="D30" s="256"/>
      <c r="F30" s="583"/>
      <c r="G30" s="505"/>
      <c r="H30" s="567"/>
      <c r="I30" s="539"/>
      <c r="J30" s="156"/>
      <c r="K30" s="156"/>
      <c r="M30" s="505"/>
      <c r="N30" s="567"/>
      <c r="O30" s="539"/>
      <c r="P30" s="84"/>
    </row>
    <row r="31" spans="1:22" ht="15.75" customHeight="1" thickBot="1" x14ac:dyDescent="0.3">
      <c r="A31" s="613"/>
      <c r="B31" s="610"/>
      <c r="C31" s="611"/>
      <c r="D31" s="256"/>
      <c r="F31" s="583"/>
      <c r="G31" s="487" t="s">
        <v>2</v>
      </c>
      <c r="H31" s="683">
        <v>1650</v>
      </c>
      <c r="I31" s="665">
        <f>SUM(H31/19)</f>
        <v>86.84210526315789</v>
      </c>
      <c r="J31" s="159"/>
      <c r="K31" s="159"/>
      <c r="M31" s="487" t="s">
        <v>2</v>
      </c>
      <c r="N31" s="682">
        <v>2048.59</v>
      </c>
      <c r="O31" s="665">
        <f>SUM(N31/19)</f>
        <v>107.82052631578948</v>
      </c>
      <c r="P31" s="84"/>
      <c r="Q31" s="283"/>
    </row>
    <row r="32" spans="1:22" ht="21" customHeight="1" thickBot="1" x14ac:dyDescent="0.3">
      <c r="A32" s="606" t="s">
        <v>232</v>
      </c>
      <c r="B32" s="612">
        <f>SUM(248.99*24)/19</f>
        <v>314.51368421052632</v>
      </c>
      <c r="C32" s="611">
        <f>SUM(65.55*24)/19</f>
        <v>82.8</v>
      </c>
      <c r="D32" s="256"/>
      <c r="F32" s="125"/>
      <c r="G32" s="641"/>
      <c r="H32" s="642"/>
      <c r="I32" s="643"/>
      <c r="J32" s="112"/>
      <c r="K32" s="112"/>
      <c r="M32" s="693"/>
      <c r="N32" s="694"/>
      <c r="O32" s="695"/>
      <c r="P32" s="84"/>
    </row>
    <row r="33" spans="1:18" ht="15.75" customHeight="1" thickBot="1" x14ac:dyDescent="0.3">
      <c r="A33" s="560"/>
      <c r="B33" s="610"/>
      <c r="C33" s="611"/>
      <c r="D33" s="256"/>
      <c r="F33" s="622" t="s">
        <v>206</v>
      </c>
      <c r="G33" s="699" t="s">
        <v>240</v>
      </c>
      <c r="H33" s="700"/>
      <c r="I33" s="701"/>
      <c r="J33" s="156"/>
      <c r="K33" s="156"/>
      <c r="M33" s="699" t="s">
        <v>240</v>
      </c>
      <c r="N33" s="700"/>
      <c r="O33" s="701"/>
      <c r="P33" s="84"/>
    </row>
    <row r="34" spans="1:18" ht="15.75" thickBot="1" x14ac:dyDescent="0.3">
      <c r="A34" s="606" t="s">
        <v>233</v>
      </c>
      <c r="B34" s="610">
        <f>SUM(205.83*24)/19</f>
        <v>259.99578947368423</v>
      </c>
      <c r="C34" s="611">
        <f>SUM(54.19*24)/19</f>
        <v>68.450526315789475</v>
      </c>
      <c r="D34" s="256"/>
      <c r="F34" s="622" t="s">
        <v>206</v>
      </c>
      <c r="G34" s="702"/>
      <c r="H34" s="703"/>
      <c r="I34" s="704"/>
      <c r="J34" s="156"/>
      <c r="K34" s="156"/>
      <c r="M34" s="702"/>
      <c r="N34" s="703"/>
      <c r="O34" s="704"/>
      <c r="P34" s="84"/>
    </row>
    <row r="35" spans="1:18" ht="15.75" thickBot="1" x14ac:dyDescent="0.3">
      <c r="A35" s="609"/>
      <c r="B35" s="610"/>
      <c r="C35" s="611"/>
      <c r="D35" s="256"/>
      <c r="F35" s="125"/>
      <c r="G35" s="702"/>
      <c r="H35" s="703"/>
      <c r="I35" s="704"/>
      <c r="J35" s="159"/>
      <c r="K35" s="159"/>
      <c r="M35" s="702"/>
      <c r="N35" s="703"/>
      <c r="O35" s="704"/>
      <c r="P35" s="84"/>
      <c r="Q35" s="283"/>
    </row>
    <row r="36" spans="1:18" ht="15.75" thickBot="1" x14ac:dyDescent="0.3">
      <c r="A36" s="606" t="s">
        <v>234</v>
      </c>
      <c r="B36" s="614">
        <f>SUM(166*24)/19</f>
        <v>209.68421052631578</v>
      </c>
      <c r="C36" s="615">
        <f>SUM(43.7*24)/19</f>
        <v>55.20000000000001</v>
      </c>
      <c r="D36" s="256"/>
      <c r="F36" s="15"/>
      <c r="G36" s="705"/>
      <c r="H36" s="706"/>
      <c r="I36" s="707"/>
      <c r="J36" s="112"/>
      <c r="K36" s="112"/>
      <c r="M36" s="705"/>
      <c r="N36" s="706"/>
      <c r="O36" s="707"/>
      <c r="P36" s="84"/>
    </row>
    <row r="37" spans="1:18" ht="15" customHeight="1" x14ac:dyDescent="0.25">
      <c r="A37" s="15"/>
      <c r="B37" s="583"/>
      <c r="C37" s="566"/>
      <c r="D37" s="256"/>
      <c r="G37" s="184"/>
      <c r="H37" s="184"/>
      <c r="I37" s="184"/>
      <c r="J37" s="543"/>
      <c r="K37" s="543"/>
      <c r="L37" s="15"/>
      <c r="M37" s="15"/>
      <c r="N37" s="15"/>
      <c r="O37" s="644"/>
      <c r="P37" s="84"/>
      <c r="R37" s="471"/>
    </row>
    <row r="38" spans="1:18" x14ac:dyDescent="0.25">
      <c r="A38" s="15"/>
      <c r="B38" s="583"/>
      <c r="C38" s="551"/>
      <c r="D38" s="256"/>
      <c r="G38" s="184"/>
      <c r="H38" s="184"/>
      <c r="I38" s="184"/>
      <c r="J38" s="160"/>
      <c r="K38" s="160"/>
      <c r="L38" s="15"/>
      <c r="M38" s="15"/>
      <c r="N38" s="15"/>
      <c r="O38" s="15"/>
      <c r="P38" s="84"/>
    </row>
    <row r="39" spans="1:18" ht="18.75" x14ac:dyDescent="0.3">
      <c r="A39" s="15"/>
      <c r="B39" s="583"/>
      <c r="C39" s="566"/>
      <c r="D39" s="256"/>
      <c r="F39" s="690"/>
      <c r="G39" s="690"/>
      <c r="H39" s="690"/>
      <c r="J39" s="690"/>
      <c r="K39" s="690"/>
      <c r="L39" s="690"/>
      <c r="M39" s="145"/>
      <c r="N39" s="91"/>
      <c r="O39" s="84"/>
      <c r="P39" s="84"/>
    </row>
    <row r="40" spans="1:18" x14ac:dyDescent="0.25">
      <c r="A40" s="15"/>
      <c r="B40" s="583"/>
      <c r="C40" s="566"/>
      <c r="D40" s="256"/>
      <c r="F40" s="691"/>
      <c r="G40" s="691"/>
      <c r="H40" s="691"/>
      <c r="J40" s="691"/>
      <c r="K40" s="691"/>
      <c r="L40" s="691"/>
      <c r="M40" s="143"/>
      <c r="N40" s="164"/>
      <c r="O40" s="84"/>
      <c r="P40" s="84"/>
    </row>
    <row r="41" spans="1:18" x14ac:dyDescent="0.25">
      <c r="A41" s="15"/>
      <c r="B41" s="583"/>
      <c r="C41" s="551"/>
      <c r="D41" s="256"/>
      <c r="F41" s="692"/>
      <c r="G41" s="692"/>
      <c r="H41" s="692"/>
      <c r="L41" s="645"/>
      <c r="M41" s="143"/>
      <c r="N41" s="156"/>
      <c r="O41" s="84"/>
      <c r="P41" s="84"/>
      <c r="R41" s="471"/>
    </row>
    <row r="42" spans="1:18" x14ac:dyDescent="0.25">
      <c r="A42" s="15"/>
      <c r="B42" s="583"/>
      <c r="C42" s="61"/>
      <c r="D42" s="256"/>
      <c r="F42" s="692"/>
      <c r="G42" s="692"/>
      <c r="H42" s="692"/>
      <c r="L42" s="645"/>
      <c r="M42" s="143"/>
      <c r="N42" s="279"/>
      <c r="O42" s="84"/>
      <c r="P42" s="84"/>
    </row>
    <row r="43" spans="1:18" ht="15" customHeight="1" x14ac:dyDescent="0.25">
      <c r="B43" s="666"/>
      <c r="C43" s="666"/>
      <c r="D43" s="666"/>
      <c r="E43" s="75"/>
      <c r="F43" s="645"/>
      <c r="G43" s="617"/>
      <c r="H43" s="645"/>
      <c r="L43" s="617"/>
      <c r="M43" s="68"/>
      <c r="N43" s="68"/>
    </row>
    <row r="44" spans="1:18" x14ac:dyDescent="0.25">
      <c r="B44" s="666"/>
      <c r="C44" s="666"/>
      <c r="D44" s="666"/>
      <c r="E44" s="68"/>
      <c r="F44" s="618"/>
      <c r="G44" s="619"/>
      <c r="H44" s="620"/>
      <c r="L44" s="619"/>
      <c r="M44" s="68"/>
      <c r="N44" s="68"/>
    </row>
    <row r="45" spans="1:18" ht="15" customHeight="1" x14ac:dyDescent="0.25">
      <c r="B45" s="666"/>
      <c r="C45" s="666"/>
      <c r="D45" s="666"/>
      <c r="F45" s="605"/>
      <c r="G45" s="605"/>
      <c r="H45" s="605"/>
      <c r="L45" s="605"/>
    </row>
    <row r="46" spans="1:18" x14ac:dyDescent="0.25">
      <c r="B46" s="602"/>
      <c r="C46" s="604"/>
      <c r="D46" s="601"/>
      <c r="F46" s="605"/>
      <c r="G46" s="621"/>
      <c r="H46" s="621"/>
      <c r="L46" s="621"/>
    </row>
    <row r="47" spans="1:18" x14ac:dyDescent="0.25">
      <c r="F47" s="605"/>
      <c r="G47" s="621"/>
      <c r="H47" s="621"/>
      <c r="L47" s="621"/>
    </row>
    <row r="48" spans="1:18" x14ac:dyDescent="0.25">
      <c r="F48" s="605"/>
      <c r="G48" s="621"/>
      <c r="H48" s="621"/>
      <c r="L48" s="621"/>
    </row>
    <row r="49" spans="6:12" x14ac:dyDescent="0.25">
      <c r="F49" s="605"/>
      <c r="G49" s="621"/>
      <c r="H49" s="621"/>
      <c r="L49" s="621"/>
    </row>
    <row r="50" spans="6:12" x14ac:dyDescent="0.25">
      <c r="F50" s="605"/>
      <c r="G50" s="621"/>
      <c r="H50" s="621"/>
      <c r="L50" s="621"/>
    </row>
    <row r="51" spans="6:12" x14ac:dyDescent="0.25">
      <c r="F51" s="605"/>
      <c r="G51" s="621"/>
      <c r="H51" s="621"/>
      <c r="J51" s="605"/>
      <c r="K51" s="621"/>
      <c r="L51" s="621"/>
    </row>
    <row r="52" spans="6:12" x14ac:dyDescent="0.25">
      <c r="F52" s="605"/>
      <c r="G52" s="621"/>
      <c r="H52" s="621"/>
      <c r="J52" s="605"/>
      <c r="K52" s="621"/>
      <c r="L52" s="621"/>
    </row>
    <row r="53" spans="6:12" x14ac:dyDescent="0.25">
      <c r="F53" s="605"/>
      <c r="G53" s="621"/>
      <c r="H53" s="621"/>
      <c r="J53" s="605"/>
      <c r="K53" s="621"/>
      <c r="L53" s="621"/>
    </row>
    <row r="54" spans="6:12" x14ac:dyDescent="0.25">
      <c r="F54" s="605"/>
      <c r="G54" s="621"/>
      <c r="H54" s="621"/>
      <c r="J54" s="605"/>
      <c r="K54" s="621"/>
      <c r="L54" s="621"/>
    </row>
    <row r="55" spans="6:12" x14ac:dyDescent="0.25">
      <c r="F55" s="605"/>
      <c r="G55" s="605"/>
      <c r="H55" s="605"/>
    </row>
    <row r="56" spans="6:12" x14ac:dyDescent="0.25">
      <c r="F56" s="605"/>
      <c r="G56" s="605"/>
      <c r="H56" s="605"/>
    </row>
  </sheetData>
  <mergeCells count="38">
    <mergeCell ref="A1:O1"/>
    <mergeCell ref="E7:I7"/>
    <mergeCell ref="K7:O7"/>
    <mergeCell ref="F8:I8"/>
    <mergeCell ref="L8:O8"/>
    <mergeCell ref="A5:C5"/>
    <mergeCell ref="B2:N2"/>
    <mergeCell ref="E4:I4"/>
    <mergeCell ref="K4:O4"/>
    <mergeCell ref="E5:I5"/>
    <mergeCell ref="K5:O5"/>
    <mergeCell ref="R20:V20"/>
    <mergeCell ref="A4:C4"/>
    <mergeCell ref="A21:C21"/>
    <mergeCell ref="G27:I27"/>
    <mergeCell ref="M27:O27"/>
    <mergeCell ref="B22:C22"/>
    <mergeCell ref="A6:C7"/>
    <mergeCell ref="A8:A9"/>
    <mergeCell ref="G9:H9"/>
    <mergeCell ref="M9:N9"/>
    <mergeCell ref="D10:D11"/>
    <mergeCell ref="G10:G11"/>
    <mergeCell ref="H10:H11"/>
    <mergeCell ref="M10:M11"/>
    <mergeCell ref="N10:N11"/>
    <mergeCell ref="M32:O32"/>
    <mergeCell ref="A10:C10"/>
    <mergeCell ref="A27:C27"/>
    <mergeCell ref="G33:I36"/>
    <mergeCell ref="M33:O36"/>
    <mergeCell ref="A23:C24"/>
    <mergeCell ref="A25:A26"/>
    <mergeCell ref="F39:H39"/>
    <mergeCell ref="J39:L39"/>
    <mergeCell ref="F40:H40"/>
    <mergeCell ref="J40:L40"/>
    <mergeCell ref="F41:H42"/>
  </mergeCells>
  <pageMargins left="0.74" right="0.14000000000000001" top="0.23" bottom="0.24" header="0.25" footer="0.19"/>
  <pageSetup scale="77" orientation="landscape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FFFF"/>
  </sheetPr>
  <dimension ref="A1:T39"/>
  <sheetViews>
    <sheetView workbookViewId="0">
      <selection activeCell="G18" sqref="G18:K18"/>
    </sheetView>
  </sheetViews>
  <sheetFormatPr defaultRowHeight="15" x14ac:dyDescent="0.25"/>
  <cols>
    <col min="1" max="1" width="7.7109375" customWidth="1"/>
    <col min="2" max="2" width="7.85546875" customWidth="1"/>
    <col min="3" max="3" width="9.28515625" customWidth="1"/>
    <col min="4" max="4" width="9.140625" bestFit="1" customWidth="1"/>
    <col min="5" max="5" width="10.5703125" customWidth="1"/>
    <col min="6" max="6" width="4.85546875" customWidth="1"/>
    <col min="7" max="7" width="8.7109375" customWidth="1"/>
    <col min="8" max="8" width="9.42578125" customWidth="1"/>
    <col min="9" max="9" width="8.28515625" customWidth="1"/>
    <col min="10" max="10" width="8.85546875" customWidth="1"/>
    <col min="11" max="11" width="10.42578125" customWidth="1"/>
    <col min="12" max="12" width="4.42578125" style="15" customWidth="1"/>
    <col min="13" max="13" width="14" customWidth="1"/>
    <col min="14" max="14" width="7.28515625" customWidth="1"/>
    <col min="15" max="16" width="10.5703125" customWidth="1"/>
  </cols>
  <sheetData>
    <row r="1" spans="1:18" ht="15.75" x14ac:dyDescent="0.25">
      <c r="A1" s="972" t="s">
        <v>190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</row>
    <row r="2" spans="1:18" x14ac:dyDescent="0.25">
      <c r="A2" s="755" t="s">
        <v>136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18" x14ac:dyDescent="0.25">
      <c r="A3" s="973" t="s">
        <v>147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</row>
    <row r="4" spans="1:18" x14ac:dyDescent="0.25">
      <c r="A4" s="68"/>
      <c r="B4" s="68"/>
      <c r="C4" s="68"/>
      <c r="D4" s="68"/>
      <c r="E4" s="68"/>
      <c r="F4" s="68"/>
      <c r="M4" s="69"/>
      <c r="N4" s="109"/>
      <c r="O4" s="109"/>
    </row>
    <row r="5" spans="1:18" x14ac:dyDescent="0.25">
      <c r="A5" s="974" t="s">
        <v>188</v>
      </c>
      <c r="B5" s="975"/>
      <c r="C5" s="975"/>
      <c r="D5" s="975"/>
      <c r="E5" s="976"/>
      <c r="F5" s="87"/>
      <c r="G5" s="977" t="s">
        <v>187</v>
      </c>
      <c r="H5" s="978"/>
      <c r="I5" s="978"/>
      <c r="J5" s="978"/>
      <c r="K5" s="979"/>
      <c r="L5" s="152"/>
      <c r="M5" s="974" t="s">
        <v>158</v>
      </c>
      <c r="N5" s="975"/>
      <c r="O5" s="975"/>
      <c r="P5" s="976"/>
      <c r="Q5" s="141"/>
    </row>
    <row r="6" spans="1:18" x14ac:dyDescent="0.25">
      <c r="A6" s="952"/>
      <c r="B6" s="752"/>
      <c r="C6" s="752"/>
      <c r="D6" s="752"/>
      <c r="E6" s="953"/>
      <c r="F6" s="87"/>
      <c r="G6" s="959"/>
      <c r="H6" s="868"/>
      <c r="I6" s="868"/>
      <c r="J6" s="868"/>
      <c r="K6" s="960"/>
      <c r="L6" s="152"/>
      <c r="M6" s="969" t="s">
        <v>186</v>
      </c>
      <c r="N6" s="970"/>
      <c r="O6" s="970"/>
      <c r="P6" s="971"/>
    </row>
    <row r="7" spans="1:18" x14ac:dyDescent="0.25">
      <c r="A7" s="169"/>
      <c r="B7" s="737" t="s">
        <v>137</v>
      </c>
      <c r="C7" s="738"/>
      <c r="D7" s="139"/>
      <c r="E7" s="140"/>
      <c r="F7" s="87"/>
      <c r="G7" s="169"/>
      <c r="H7" s="737" t="s">
        <v>137</v>
      </c>
      <c r="I7" s="738"/>
      <c r="J7" s="139"/>
      <c r="K7" s="140"/>
      <c r="L7" s="152"/>
      <c r="M7" s="957"/>
      <c r="N7" s="871"/>
      <c r="O7" s="871"/>
      <c r="P7" s="958"/>
    </row>
    <row r="8" spans="1:18" x14ac:dyDescent="0.25">
      <c r="A8" s="170"/>
      <c r="B8" s="167" t="s">
        <v>7</v>
      </c>
      <c r="C8" s="167" t="s">
        <v>6</v>
      </c>
      <c r="D8" s="167" t="s">
        <v>25</v>
      </c>
      <c r="E8" s="167" t="s">
        <v>26</v>
      </c>
      <c r="F8" s="87"/>
      <c r="G8" s="170"/>
      <c r="H8" s="167" t="s">
        <v>7</v>
      </c>
      <c r="I8" s="167" t="s">
        <v>6</v>
      </c>
      <c r="J8" s="167" t="s">
        <v>25</v>
      </c>
      <c r="K8" s="167" t="s">
        <v>26</v>
      </c>
      <c r="L8" s="175"/>
      <c r="M8" s="170"/>
      <c r="N8" s="15"/>
      <c r="O8" s="167" t="s">
        <v>25</v>
      </c>
      <c r="P8" s="167" t="s">
        <v>26</v>
      </c>
    </row>
    <row r="9" spans="1:18" x14ac:dyDescent="0.25">
      <c r="A9" s="111"/>
      <c r="B9" s="61"/>
      <c r="C9" s="61"/>
      <c r="D9" s="112"/>
      <c r="E9" s="113"/>
      <c r="F9" s="87"/>
      <c r="G9" s="111"/>
      <c r="H9" s="61"/>
      <c r="I9" s="61"/>
      <c r="J9" s="112"/>
      <c r="K9" s="113"/>
      <c r="L9" s="112"/>
      <c r="M9" s="111"/>
      <c r="N9" s="112"/>
      <c r="O9" s="112"/>
      <c r="P9" s="16"/>
    </row>
    <row r="10" spans="1:18" x14ac:dyDescent="0.25">
      <c r="A10" s="168" t="s">
        <v>3</v>
      </c>
      <c r="B10" s="173">
        <f>D10*6.6%/2</f>
        <v>51.142410000000005</v>
      </c>
      <c r="C10" s="173">
        <f>D10/2-B10</f>
        <v>723.74258999999995</v>
      </c>
      <c r="D10" s="172">
        <v>1549.77</v>
      </c>
      <c r="E10" s="174">
        <f>D10*12</f>
        <v>18597.239999999998</v>
      </c>
      <c r="F10" s="87"/>
      <c r="G10" s="168" t="s">
        <v>3</v>
      </c>
      <c r="H10" s="95">
        <f>J10*6.6%/2</f>
        <v>51.142410000000005</v>
      </c>
      <c r="I10" s="95">
        <f>J10/2-H10</f>
        <v>723.74258999999995</v>
      </c>
      <c r="J10" s="95">
        <v>1549.77</v>
      </c>
      <c r="K10" s="96">
        <f>J10*12</f>
        <v>18597.239999999998</v>
      </c>
      <c r="L10" s="114"/>
      <c r="M10" s="168" t="s">
        <v>3</v>
      </c>
      <c r="N10" s="95"/>
      <c r="O10" s="95">
        <v>1549.77</v>
      </c>
      <c r="P10" s="96">
        <f>O10*12</f>
        <v>18597.239999999998</v>
      </c>
      <c r="Q10" s="65"/>
      <c r="R10" s="65">
        <f>O10/2</f>
        <v>774.88499999999999</v>
      </c>
    </row>
    <row r="11" spans="1:18" x14ac:dyDescent="0.25">
      <c r="A11" s="111"/>
      <c r="B11" s="171"/>
      <c r="C11" s="171"/>
      <c r="D11" s="165"/>
      <c r="E11" s="166"/>
      <c r="F11" s="87"/>
      <c r="G11" s="111"/>
      <c r="H11" s="61"/>
      <c r="I11" s="61"/>
      <c r="J11" s="115"/>
      <c r="K11" s="116"/>
      <c r="L11" s="115"/>
      <c r="M11" s="111"/>
      <c r="N11" s="115"/>
      <c r="O11" s="115"/>
      <c r="P11" s="16"/>
    </row>
    <row r="12" spans="1:18" x14ac:dyDescent="0.25">
      <c r="A12" s="168" t="s">
        <v>2</v>
      </c>
      <c r="B12" s="173">
        <f>D12*6.6%/2</f>
        <v>22.55649</v>
      </c>
      <c r="C12" s="173">
        <f>D12/2-B12</f>
        <v>319.20850999999999</v>
      </c>
      <c r="D12" s="172">
        <v>683.53</v>
      </c>
      <c r="E12" s="96">
        <f>D12*12</f>
        <v>8202.36</v>
      </c>
      <c r="F12" s="87"/>
      <c r="G12" s="168" t="s">
        <v>2</v>
      </c>
      <c r="H12" s="95">
        <f>J12*6.6%/2</f>
        <v>22.55649</v>
      </c>
      <c r="I12" s="95">
        <f>J12/2-H12</f>
        <v>319.20850999999999</v>
      </c>
      <c r="J12" s="95">
        <v>683.53</v>
      </c>
      <c r="K12" s="96">
        <f>J12*12</f>
        <v>8202.36</v>
      </c>
      <c r="L12" s="117"/>
      <c r="M12" s="168" t="s">
        <v>2</v>
      </c>
      <c r="N12" s="95"/>
      <c r="O12" s="95">
        <v>683.53</v>
      </c>
      <c r="P12" s="96">
        <f>O12*12</f>
        <v>8202.36</v>
      </c>
      <c r="Q12" s="65"/>
      <c r="R12" s="65">
        <f>O12/2</f>
        <v>341.76499999999999</v>
      </c>
    </row>
    <row r="13" spans="1:18" x14ac:dyDescent="0.25">
      <c r="A13" s="148"/>
      <c r="B13" s="149"/>
      <c r="C13" s="149"/>
      <c r="D13" s="150"/>
      <c r="E13" s="136"/>
      <c r="F13" s="87"/>
      <c r="G13" s="148"/>
      <c r="H13" s="149"/>
      <c r="I13" s="149"/>
      <c r="J13" s="150"/>
      <c r="K13" s="136"/>
      <c r="L13" s="156"/>
      <c r="M13" s="148"/>
      <c r="N13" s="149"/>
      <c r="O13" s="150"/>
      <c r="P13" s="136"/>
    </row>
    <row r="14" spans="1:18" x14ac:dyDescent="0.25">
      <c r="A14" s="106"/>
      <c r="B14" s="61"/>
      <c r="C14" s="61"/>
      <c r="D14" s="117"/>
      <c r="E14" s="156"/>
      <c r="F14" s="87"/>
      <c r="G14" s="106"/>
      <c r="H14" s="61"/>
      <c r="I14" s="61"/>
      <c r="J14" s="117"/>
      <c r="K14" s="156"/>
      <c r="L14" s="156"/>
      <c r="M14" s="111"/>
      <c r="N14" s="61"/>
      <c r="O14" s="117"/>
      <c r="P14" s="119"/>
    </row>
    <row r="15" spans="1:18" x14ac:dyDescent="0.25">
      <c r="A15" s="106"/>
      <c r="B15" s="61"/>
      <c r="C15" s="61"/>
      <c r="D15" s="117"/>
      <c r="E15" s="156"/>
      <c r="F15" s="87"/>
      <c r="G15" s="106"/>
      <c r="H15" s="61"/>
      <c r="I15" s="61"/>
      <c r="J15" s="117"/>
      <c r="K15" s="156"/>
      <c r="L15" s="156"/>
      <c r="M15" s="111"/>
      <c r="N15" s="61"/>
      <c r="O15" s="117"/>
      <c r="P15" s="119"/>
      <c r="R15" s="95"/>
    </row>
    <row r="16" spans="1:18" x14ac:dyDescent="0.25">
      <c r="A16" s="946" t="s">
        <v>122</v>
      </c>
      <c r="B16" s="829"/>
      <c r="C16" s="829"/>
      <c r="D16" s="829"/>
      <c r="E16" s="947"/>
      <c r="F16" s="87"/>
      <c r="G16" s="946" t="s">
        <v>122</v>
      </c>
      <c r="H16" s="829"/>
      <c r="I16" s="829"/>
      <c r="J16" s="829"/>
      <c r="K16" s="947"/>
      <c r="L16" s="164"/>
      <c r="M16" s="946" t="s">
        <v>140</v>
      </c>
      <c r="N16" s="829"/>
      <c r="O16" s="829"/>
      <c r="P16" s="947"/>
    </row>
    <row r="17" spans="1:20" x14ac:dyDescent="0.25">
      <c r="A17" s="120"/>
      <c r="B17" s="61"/>
      <c r="C17" s="61"/>
      <c r="D17" s="121"/>
      <c r="E17" s="122"/>
      <c r="F17" s="110"/>
      <c r="G17" s="120"/>
      <c r="H17" s="142"/>
      <c r="I17" s="142"/>
      <c r="J17" s="121"/>
      <c r="K17" s="122"/>
      <c r="L17" s="157"/>
      <c r="M17" s="120" t="s">
        <v>107</v>
      </c>
      <c r="N17" s="61"/>
      <c r="O17" s="93" t="s">
        <v>83</v>
      </c>
      <c r="P17" s="94" t="s">
        <v>6</v>
      </c>
      <c r="T17" t="s">
        <v>182</v>
      </c>
    </row>
    <row r="18" spans="1:20" ht="15" customHeight="1" x14ac:dyDescent="0.25">
      <c r="A18" s="948" t="s">
        <v>138</v>
      </c>
      <c r="B18" s="703"/>
      <c r="C18" s="703"/>
      <c r="D18" s="703"/>
      <c r="E18" s="949"/>
      <c r="F18" s="92"/>
      <c r="G18" s="948" t="s">
        <v>138</v>
      </c>
      <c r="H18" s="703"/>
      <c r="I18" s="703"/>
      <c r="J18" s="703"/>
      <c r="K18" s="949"/>
      <c r="L18" s="117"/>
      <c r="M18" s="131" t="s">
        <v>3</v>
      </c>
      <c r="N18" s="143"/>
      <c r="O18" s="281">
        <f>O10/2*44%</f>
        <v>340.94940000000003</v>
      </c>
      <c r="P18" s="118">
        <f>O10/2*56%</f>
        <v>433.93560000000002</v>
      </c>
      <c r="Q18" s="479" t="s">
        <v>157</v>
      </c>
      <c r="R18" s="84">
        <f>O18+P18</f>
        <v>774.88499999999999</v>
      </c>
      <c r="T18" t="s">
        <v>181</v>
      </c>
    </row>
    <row r="19" spans="1:20" x14ac:dyDescent="0.25">
      <c r="A19" s="185"/>
      <c r="B19" s="186"/>
      <c r="C19" s="186"/>
      <c r="D19" s="186"/>
      <c r="E19" s="187"/>
      <c r="F19" s="92"/>
      <c r="G19" s="134"/>
      <c r="H19" s="147"/>
      <c r="I19" s="147"/>
      <c r="J19" s="135"/>
      <c r="K19" s="136"/>
      <c r="L19" s="156"/>
      <c r="M19" s="131" t="s">
        <v>2</v>
      </c>
      <c r="N19" s="143"/>
      <c r="O19" s="281">
        <f>O12/2*6.6%</f>
        <v>22.55649</v>
      </c>
      <c r="P19" s="119">
        <f>O12/2-O19</f>
        <v>319.20850999999999</v>
      </c>
      <c r="Q19" s="84"/>
      <c r="R19" s="84">
        <f>O19+P19</f>
        <v>341.76499999999999</v>
      </c>
    </row>
    <row r="20" spans="1:20" x14ac:dyDescent="0.25">
      <c r="A20" s="184"/>
      <c r="B20" s="184"/>
      <c r="C20" s="184"/>
      <c r="D20" s="184"/>
      <c r="E20" s="184"/>
      <c r="F20" s="108"/>
      <c r="G20" s="121"/>
      <c r="H20" s="144"/>
      <c r="I20" s="144"/>
      <c r="J20" s="121"/>
      <c r="K20" s="158"/>
      <c r="L20" s="158"/>
      <c r="M20" s="126"/>
      <c r="N20" s="144"/>
      <c r="O20" s="106"/>
      <c r="P20" s="127"/>
      <c r="Q20" s="84"/>
      <c r="R20" s="84"/>
    </row>
    <row r="21" spans="1:20" x14ac:dyDescent="0.25">
      <c r="A21" s="188"/>
      <c r="B21" s="144"/>
      <c r="C21" s="144"/>
      <c r="D21" s="121"/>
      <c r="E21" s="157"/>
      <c r="F21" s="110"/>
      <c r="G21" s="188"/>
      <c r="H21" s="144"/>
      <c r="I21" s="144"/>
      <c r="J21" s="121"/>
      <c r="K21" s="157"/>
      <c r="L21" s="157"/>
      <c r="M21" s="120" t="s">
        <v>108</v>
      </c>
      <c r="N21" s="144"/>
      <c r="O21" s="93" t="s">
        <v>83</v>
      </c>
      <c r="P21" s="94" t="s">
        <v>6</v>
      </c>
      <c r="Q21" s="84"/>
      <c r="R21" s="84"/>
    </row>
    <row r="22" spans="1:20" x14ac:dyDescent="0.25">
      <c r="A22" s="124"/>
      <c r="B22" s="143"/>
      <c r="C22" s="143"/>
      <c r="D22" s="125"/>
      <c r="E22" s="156"/>
      <c r="F22" s="124"/>
      <c r="G22" s="124"/>
      <c r="H22" s="143"/>
      <c r="I22" s="143"/>
      <c r="J22" s="125"/>
      <c r="K22" s="156"/>
      <c r="L22" s="156"/>
      <c r="M22" s="131" t="s">
        <v>3</v>
      </c>
      <c r="N22" s="143"/>
      <c r="O22" s="281">
        <f>O10/2-P22</f>
        <v>387.4425</v>
      </c>
      <c r="P22" s="119">
        <f>O10/2/2</f>
        <v>387.4425</v>
      </c>
      <c r="Q22" s="84"/>
      <c r="R22" s="84">
        <f t="shared" ref="R22:R34" si="0">O22+P22</f>
        <v>774.88499999999999</v>
      </c>
      <c r="S22" s="283">
        <v>0.87</v>
      </c>
    </row>
    <row r="23" spans="1:20" x14ac:dyDescent="0.25">
      <c r="A23" s="193"/>
      <c r="B23" s="143"/>
      <c r="C23" s="143"/>
      <c r="D23" s="125"/>
      <c r="E23" s="156"/>
      <c r="F23" s="124"/>
      <c r="G23" s="124"/>
      <c r="H23" s="143"/>
      <c r="I23" s="143"/>
      <c r="J23" s="125"/>
      <c r="K23" s="156"/>
      <c r="L23" s="156"/>
      <c r="M23" s="131" t="s">
        <v>2</v>
      </c>
      <c r="N23" s="143"/>
      <c r="O23" s="281">
        <f>O12/2-P23</f>
        <v>64.053596299999981</v>
      </c>
      <c r="P23" s="119">
        <f>P19*87%</f>
        <v>277.71140370000001</v>
      </c>
      <c r="Q23" s="84"/>
      <c r="R23" s="84">
        <f t="shared" si="0"/>
        <v>341.76499999999999</v>
      </c>
    </row>
    <row r="24" spans="1:20" x14ac:dyDescent="0.25">
      <c r="A24" s="946" t="s">
        <v>144</v>
      </c>
      <c r="B24" s="829"/>
      <c r="C24" s="829"/>
      <c r="D24" s="829"/>
      <c r="E24" s="947"/>
      <c r="F24" s="108"/>
      <c r="G24" s="125"/>
      <c r="H24" s="145"/>
      <c r="I24" s="145"/>
      <c r="J24" s="125"/>
      <c r="K24" s="159"/>
      <c r="L24" s="159"/>
      <c r="M24" s="128"/>
      <c r="N24" s="145"/>
      <c r="O24" s="91"/>
      <c r="P24" s="129"/>
      <c r="Q24" s="84"/>
      <c r="R24" s="84"/>
    </row>
    <row r="25" spans="1:20" x14ac:dyDescent="0.25">
      <c r="A25" s="128"/>
      <c r="B25" s="145"/>
      <c r="C25" s="145"/>
      <c r="D25" s="125"/>
      <c r="E25" s="129"/>
      <c r="F25" s="110"/>
      <c r="G25" s="189"/>
      <c r="H25" s="145"/>
      <c r="I25" s="145"/>
      <c r="J25" s="125"/>
      <c r="K25" s="112"/>
      <c r="L25" s="112"/>
      <c r="M25" s="130" t="s">
        <v>110</v>
      </c>
      <c r="N25" s="145"/>
      <c r="O25" s="164" t="s">
        <v>83</v>
      </c>
      <c r="P25" s="176" t="s">
        <v>6</v>
      </c>
      <c r="Q25" s="84"/>
      <c r="R25" s="84"/>
    </row>
    <row r="26" spans="1:20" x14ac:dyDescent="0.25">
      <c r="A26" s="168" t="s">
        <v>3</v>
      </c>
      <c r="B26" s="145"/>
      <c r="C26" s="173">
        <v>2500</v>
      </c>
      <c r="D26" s="125"/>
      <c r="E26" s="113"/>
      <c r="F26" s="110"/>
      <c r="G26" s="91"/>
      <c r="H26" s="146"/>
      <c r="I26" s="146"/>
      <c r="J26" s="125"/>
      <c r="K26" s="156"/>
      <c r="L26" s="156"/>
      <c r="M26" s="131" t="s">
        <v>3</v>
      </c>
      <c r="N26" s="278"/>
      <c r="O26" s="281">
        <f>O10/2-P26</f>
        <v>387.4425</v>
      </c>
      <c r="P26" s="119">
        <f>O10/2/2</f>
        <v>387.4425</v>
      </c>
      <c r="Q26" s="84"/>
      <c r="R26" s="84">
        <f t="shared" si="0"/>
        <v>774.88499999999999</v>
      </c>
      <c r="S26" s="283">
        <v>0.75</v>
      </c>
    </row>
    <row r="27" spans="1:20" x14ac:dyDescent="0.25">
      <c r="A27" s="131"/>
      <c r="B27" s="146"/>
      <c r="C27" s="146"/>
      <c r="D27" s="125"/>
      <c r="E27" s="119"/>
      <c r="F27" s="92"/>
      <c r="G27" s="124"/>
      <c r="H27" s="143"/>
      <c r="I27" s="143"/>
      <c r="J27" s="125"/>
      <c r="K27" s="156"/>
      <c r="L27" s="156"/>
      <c r="M27" s="131" t="s">
        <v>2</v>
      </c>
      <c r="N27" s="143"/>
      <c r="O27" s="281">
        <f>O12/2-P27</f>
        <v>102.35861749999998</v>
      </c>
      <c r="P27" s="119">
        <f>P19*75%</f>
        <v>239.40638250000001</v>
      </c>
      <c r="Q27" s="84"/>
      <c r="R27" s="84">
        <f t="shared" si="0"/>
        <v>341.76499999999999</v>
      </c>
    </row>
    <row r="28" spans="1:20" x14ac:dyDescent="0.25">
      <c r="A28" s="168" t="s">
        <v>2</v>
      </c>
      <c r="B28" s="143"/>
      <c r="C28" s="173">
        <v>1250</v>
      </c>
      <c r="D28" s="125"/>
      <c r="E28" s="119"/>
      <c r="F28" s="108"/>
      <c r="G28" s="125"/>
      <c r="H28" s="145"/>
      <c r="I28" s="145"/>
      <c r="J28" s="125"/>
      <c r="K28" s="159"/>
      <c r="L28" s="159"/>
      <c r="M28" s="128"/>
      <c r="N28" s="145"/>
      <c r="O28" s="91"/>
      <c r="P28" s="129"/>
      <c r="Q28" s="84"/>
      <c r="R28" s="84"/>
    </row>
    <row r="29" spans="1:20" x14ac:dyDescent="0.25">
      <c r="A29" s="128"/>
      <c r="B29" s="145"/>
      <c r="C29" s="173"/>
      <c r="D29" s="125"/>
      <c r="E29" s="129"/>
      <c r="F29" s="110"/>
      <c r="G29" s="189"/>
      <c r="H29" s="145"/>
      <c r="I29" s="145"/>
      <c r="J29" s="125"/>
      <c r="K29" s="112"/>
      <c r="L29" s="112"/>
      <c r="M29" s="130" t="s">
        <v>109</v>
      </c>
      <c r="N29" s="145"/>
      <c r="O29" s="164" t="s">
        <v>83</v>
      </c>
      <c r="P29" s="176" t="s">
        <v>6</v>
      </c>
      <c r="Q29" s="84"/>
      <c r="R29" s="84"/>
    </row>
    <row r="30" spans="1:20" x14ac:dyDescent="0.25">
      <c r="A30" s="131" t="s">
        <v>146</v>
      </c>
      <c r="B30" s="145"/>
      <c r="C30" s="145"/>
      <c r="D30" s="125"/>
      <c r="E30" s="113"/>
      <c r="F30" s="92"/>
      <c r="G30" s="124"/>
      <c r="H30" s="143"/>
      <c r="I30" s="143"/>
      <c r="J30" s="125"/>
      <c r="K30" s="160"/>
      <c r="L30" s="160"/>
      <c r="M30" s="131" t="s">
        <v>3</v>
      </c>
      <c r="N30" s="143"/>
      <c r="O30" s="156">
        <f>O10/2-P30</f>
        <v>387.4425</v>
      </c>
      <c r="P30" s="132">
        <f>O10/2/2</f>
        <v>387.4425</v>
      </c>
      <c r="Q30" s="84"/>
      <c r="R30" s="84">
        <f t="shared" si="0"/>
        <v>774.88499999999999</v>
      </c>
      <c r="S30" s="283">
        <v>0.62</v>
      </c>
    </row>
    <row r="31" spans="1:20" x14ac:dyDescent="0.25">
      <c r="A31" s="131" t="s">
        <v>159</v>
      </c>
      <c r="B31" s="143"/>
      <c r="C31" s="143"/>
      <c r="D31" s="125"/>
      <c r="E31" s="132"/>
      <c r="F31" s="92"/>
      <c r="G31" s="124"/>
      <c r="H31" s="143"/>
      <c r="I31" s="143"/>
      <c r="J31" s="125"/>
      <c r="K31" s="160"/>
      <c r="L31" s="160"/>
      <c r="M31" s="131" t="s">
        <v>2</v>
      </c>
      <c r="N31" s="143"/>
      <c r="O31" s="156">
        <f>O12/2-P31</f>
        <v>143.85572379999999</v>
      </c>
      <c r="P31" s="132">
        <f>P19*62%</f>
        <v>197.90927619999999</v>
      </c>
      <c r="Q31" s="84"/>
      <c r="R31" s="84">
        <f t="shared" si="0"/>
        <v>341.76499999999999</v>
      </c>
    </row>
    <row r="32" spans="1:20" x14ac:dyDescent="0.25">
      <c r="A32" s="131" t="s">
        <v>145</v>
      </c>
      <c r="B32" s="143"/>
      <c r="C32" s="143"/>
      <c r="D32" s="125"/>
      <c r="E32" s="132"/>
      <c r="F32" s="108"/>
      <c r="G32" s="125"/>
      <c r="H32" s="145"/>
      <c r="I32" s="145"/>
      <c r="J32" s="125"/>
      <c r="K32" s="161"/>
      <c r="L32" s="161"/>
      <c r="M32" s="128"/>
      <c r="N32" s="145"/>
      <c r="O32" s="91"/>
      <c r="P32" s="133"/>
      <c r="Q32" s="84"/>
      <c r="R32" s="84"/>
    </row>
    <row r="33" spans="1:19" x14ac:dyDescent="0.25">
      <c r="A33" s="190"/>
      <c r="B33" s="191"/>
      <c r="C33" s="191"/>
      <c r="D33" s="135"/>
      <c r="E33" s="192"/>
      <c r="F33" s="110"/>
      <c r="G33" s="189"/>
      <c r="H33" s="143"/>
      <c r="I33" s="143"/>
      <c r="J33" s="124"/>
      <c r="K33" s="112"/>
      <c r="L33" s="112"/>
      <c r="M33" s="130" t="s">
        <v>106</v>
      </c>
      <c r="N33" s="143"/>
      <c r="O33" s="164" t="s">
        <v>83</v>
      </c>
      <c r="P33" s="176" t="s">
        <v>6</v>
      </c>
      <c r="Q33" s="84"/>
      <c r="R33" s="84"/>
    </row>
    <row r="34" spans="1:19" x14ac:dyDescent="0.25">
      <c r="A34" s="124"/>
      <c r="B34" s="143"/>
      <c r="C34" s="143"/>
      <c r="D34" s="125"/>
      <c r="E34" s="156"/>
      <c r="F34" s="124"/>
      <c r="G34" s="124"/>
      <c r="H34" s="143"/>
      <c r="I34" s="143"/>
      <c r="J34" s="125"/>
      <c r="K34" s="156"/>
      <c r="L34" s="156"/>
      <c r="M34" s="131" t="s">
        <v>3</v>
      </c>
      <c r="N34" s="143"/>
      <c r="O34" s="156">
        <f>O10/2-P34</f>
        <v>387.4425</v>
      </c>
      <c r="P34" s="119">
        <f>O10/2/2</f>
        <v>387.4425</v>
      </c>
      <c r="Q34" s="84"/>
      <c r="R34" s="84">
        <f t="shared" si="0"/>
        <v>774.88499999999999</v>
      </c>
      <c r="S34" s="283">
        <v>0.5</v>
      </c>
    </row>
    <row r="35" spans="1:19" x14ac:dyDescent="0.25">
      <c r="A35" s="124"/>
      <c r="B35" s="143"/>
      <c r="C35" s="143"/>
      <c r="D35" s="125"/>
      <c r="E35" s="156"/>
      <c r="F35" s="124"/>
      <c r="G35" s="124"/>
      <c r="H35" s="143"/>
      <c r="I35" s="143"/>
      <c r="J35" s="125"/>
      <c r="K35" s="156"/>
      <c r="L35" s="156"/>
      <c r="M35" s="177" t="s">
        <v>2</v>
      </c>
      <c r="N35" s="147"/>
      <c r="O35" s="282">
        <f>O12/2-P35</f>
        <v>170.88249999999999</v>
      </c>
      <c r="P35" s="136">
        <f>O12/2/2</f>
        <v>170.88249999999999</v>
      </c>
      <c r="Q35" s="84"/>
      <c r="R35" s="84">
        <f>O35+P35</f>
        <v>341.76499999999999</v>
      </c>
    </row>
    <row r="36" spans="1:19" x14ac:dyDescent="0.25">
      <c r="A36" s="121"/>
      <c r="B36" s="121"/>
      <c r="C36" s="121"/>
      <c r="D36" s="121"/>
      <c r="E36" s="158"/>
      <c r="F36" s="125"/>
      <c r="G36" s="15"/>
      <c r="H36" s="15"/>
      <c r="I36" s="15"/>
      <c r="J36" s="15"/>
      <c r="K36" s="15"/>
      <c r="M36" s="68"/>
      <c r="N36" s="68"/>
      <c r="O36" s="68"/>
      <c r="P36" s="70"/>
    </row>
    <row r="37" spans="1:19" x14ac:dyDescent="0.25">
      <c r="A37" s="91"/>
      <c r="B37" s="124"/>
      <c r="C37" s="124"/>
      <c r="D37" s="124"/>
      <c r="E37" s="156"/>
      <c r="F37" s="61"/>
      <c r="G37" s="15"/>
      <c r="H37" s="15"/>
      <c r="I37" s="15"/>
      <c r="J37" s="15"/>
      <c r="K37" s="15"/>
      <c r="M37" s="69"/>
      <c r="N37" s="68"/>
      <c r="O37" s="68"/>
    </row>
    <row r="38" spans="1:19" x14ac:dyDescent="0.25">
      <c r="A38" s="91"/>
      <c r="B38" s="68"/>
      <c r="C38" s="68"/>
      <c r="D38" s="68"/>
      <c r="E38" s="70"/>
      <c r="F38" s="68"/>
      <c r="G38" s="15"/>
      <c r="H38" s="15"/>
      <c r="I38" s="15"/>
      <c r="J38" s="15"/>
      <c r="K38" s="15"/>
      <c r="M38" s="69"/>
      <c r="N38" s="68"/>
      <c r="O38" s="68"/>
    </row>
    <row r="39" spans="1:19" x14ac:dyDescent="0.25">
      <c r="A39" s="64"/>
      <c r="E39" s="63"/>
      <c r="M39" s="62"/>
    </row>
  </sheetData>
  <mergeCells count="18">
    <mergeCell ref="A24:E24"/>
    <mergeCell ref="A18:E18"/>
    <mergeCell ref="G18:K18"/>
    <mergeCell ref="A1:P1"/>
    <mergeCell ref="A2:P2"/>
    <mergeCell ref="A3:P3"/>
    <mergeCell ref="A5:E5"/>
    <mergeCell ref="G5:K5"/>
    <mergeCell ref="M5:P5"/>
    <mergeCell ref="M16:P16"/>
    <mergeCell ref="M6:P6"/>
    <mergeCell ref="M7:P7"/>
    <mergeCell ref="A6:E6"/>
    <mergeCell ref="G6:K6"/>
    <mergeCell ref="B7:C7"/>
    <mergeCell ref="H7:I7"/>
    <mergeCell ref="A16:E16"/>
    <mergeCell ref="G16:K16"/>
  </mergeCells>
  <pageMargins left="0.2" right="0.14000000000000001" top="0.23" bottom="0.24" header="0.25" footer="0.19"/>
  <pageSetup paperSize="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</sheetPr>
  <dimension ref="A1:O41"/>
  <sheetViews>
    <sheetView workbookViewId="0">
      <selection activeCell="M16" sqref="M16"/>
    </sheetView>
  </sheetViews>
  <sheetFormatPr defaultRowHeight="15" x14ac:dyDescent="0.25"/>
  <cols>
    <col min="1" max="1" width="13.42578125" customWidth="1"/>
    <col min="2" max="2" width="9.28515625" customWidth="1"/>
    <col min="3" max="3" width="8.5703125" customWidth="1"/>
    <col min="4" max="4" width="9.85546875" customWidth="1"/>
    <col min="5" max="5" width="7.140625" customWidth="1"/>
    <col min="6" max="6" width="14.5703125" customWidth="1"/>
    <col min="7" max="7" width="8.28515625" customWidth="1"/>
    <col min="9" max="9" width="11.42578125" customWidth="1"/>
    <col min="10" max="10" width="7.140625" style="15" customWidth="1"/>
    <col min="11" max="11" width="14.5703125" bestFit="1" customWidth="1"/>
    <col min="12" max="12" width="8.28515625" customWidth="1"/>
    <col min="13" max="13" width="9.140625" customWidth="1"/>
    <col min="14" max="14" width="11.28515625" customWidth="1"/>
  </cols>
  <sheetData>
    <row r="1" spans="1:15" ht="15.75" x14ac:dyDescent="0.25">
      <c r="A1" s="983" t="s">
        <v>191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</row>
    <row r="2" spans="1:15" x14ac:dyDescent="0.25">
      <c r="A2" s="755" t="s">
        <v>120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</row>
    <row r="3" spans="1:15" ht="15.75" x14ac:dyDescent="0.25">
      <c r="A3" s="962" t="s">
        <v>135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</row>
    <row r="4" spans="1:15" ht="15.75" x14ac:dyDescent="0.25">
      <c r="A4" s="107"/>
      <c r="B4" s="107"/>
      <c r="C4" s="107"/>
      <c r="D4" s="107"/>
      <c r="E4" s="107"/>
      <c r="K4" s="107"/>
      <c r="L4" s="107"/>
      <c r="M4" s="107"/>
      <c r="N4" s="107"/>
    </row>
    <row r="5" spans="1:15" ht="15.75" x14ac:dyDescent="0.25">
      <c r="A5" s="107"/>
      <c r="B5" s="107"/>
      <c r="C5" s="107"/>
      <c r="D5" s="107"/>
      <c r="E5" s="107"/>
      <c r="K5" s="107"/>
      <c r="L5" s="107"/>
      <c r="M5" s="107"/>
      <c r="N5" s="107"/>
    </row>
    <row r="6" spans="1:15" x14ac:dyDescent="0.25">
      <c r="A6" s="68"/>
      <c r="B6" s="68"/>
      <c r="C6" s="68"/>
      <c r="D6" s="68"/>
      <c r="E6" s="68"/>
      <c r="K6" s="69"/>
      <c r="L6" s="109"/>
      <c r="M6" s="109"/>
    </row>
    <row r="7" spans="1:15" x14ac:dyDescent="0.25">
      <c r="A7" s="990" t="s">
        <v>188</v>
      </c>
      <c r="B7" s="991"/>
      <c r="C7" s="991"/>
      <c r="D7" s="992"/>
      <c r="E7" s="87"/>
      <c r="F7" s="984" t="s">
        <v>133</v>
      </c>
      <c r="G7" s="985"/>
      <c r="H7" s="985"/>
      <c r="I7" s="986"/>
      <c r="J7" s="152"/>
      <c r="K7" s="990" t="s">
        <v>193</v>
      </c>
      <c r="L7" s="991"/>
      <c r="M7" s="991"/>
      <c r="N7" s="992"/>
      <c r="O7" s="141"/>
    </row>
    <row r="8" spans="1:15" x14ac:dyDescent="0.25">
      <c r="A8" s="137"/>
      <c r="B8" s="138"/>
      <c r="C8" s="139"/>
      <c r="D8" s="140"/>
      <c r="E8" s="87"/>
      <c r="F8" s="987" t="s">
        <v>192</v>
      </c>
      <c r="G8" s="988"/>
      <c r="H8" s="988"/>
      <c r="I8" s="989"/>
      <c r="J8" s="152"/>
      <c r="K8" s="137"/>
      <c r="L8" s="138"/>
      <c r="M8" s="139"/>
      <c r="N8" s="140"/>
    </row>
    <row r="9" spans="1:15" x14ac:dyDescent="0.25">
      <c r="A9" s="137"/>
      <c r="B9" s="138"/>
      <c r="C9" s="139"/>
      <c r="D9" s="140"/>
      <c r="E9" s="87"/>
      <c r="F9" s="151"/>
      <c r="G9" s="152"/>
      <c r="H9" s="152"/>
      <c r="I9" s="153"/>
      <c r="J9" s="152"/>
      <c r="K9" s="137"/>
      <c r="L9" s="138"/>
      <c r="M9" s="139"/>
      <c r="N9" s="140"/>
    </row>
    <row r="10" spans="1:15" x14ac:dyDescent="0.25">
      <c r="A10" s="946" t="s">
        <v>123</v>
      </c>
      <c r="B10" s="829"/>
      <c r="C10" s="829"/>
      <c r="D10" s="947"/>
      <c r="E10" s="87"/>
      <c r="F10" s="993" t="s">
        <v>123</v>
      </c>
      <c r="G10" s="994"/>
      <c r="H10" s="994"/>
      <c r="I10" s="995"/>
      <c r="J10" s="162"/>
      <c r="K10" s="946" t="s">
        <v>123</v>
      </c>
      <c r="L10" s="829"/>
      <c r="M10" s="829"/>
      <c r="N10" s="947"/>
    </row>
    <row r="11" spans="1:15" x14ac:dyDescent="0.25">
      <c r="A11" s="111"/>
      <c r="B11" s="61"/>
      <c r="C11" s="112" t="s">
        <v>0</v>
      </c>
      <c r="D11" s="113" t="s">
        <v>1</v>
      </c>
      <c r="E11" s="87"/>
      <c r="F11" s="111"/>
      <c r="G11" s="61"/>
      <c r="H11" s="112" t="s">
        <v>0</v>
      </c>
      <c r="I11" s="113" t="s">
        <v>1</v>
      </c>
      <c r="J11" s="112"/>
      <c r="K11" s="111"/>
      <c r="L11" s="61"/>
      <c r="M11" s="112" t="s">
        <v>0</v>
      </c>
      <c r="N11" s="113" t="s">
        <v>1</v>
      </c>
    </row>
    <row r="12" spans="1:15" x14ac:dyDescent="0.25">
      <c r="A12" s="111"/>
      <c r="B12" s="61"/>
      <c r="C12" s="178">
        <v>40360</v>
      </c>
      <c r="D12" s="179">
        <v>40360</v>
      </c>
      <c r="E12" s="87"/>
      <c r="F12" s="111"/>
      <c r="G12" s="61"/>
      <c r="H12" s="178">
        <v>40360</v>
      </c>
      <c r="I12" s="179">
        <v>40360</v>
      </c>
      <c r="J12" s="114"/>
      <c r="K12" s="111"/>
      <c r="L12" s="61"/>
      <c r="M12" s="180">
        <v>39630</v>
      </c>
      <c r="N12" s="181">
        <v>39630</v>
      </c>
    </row>
    <row r="13" spans="1:15" x14ac:dyDescent="0.25">
      <c r="A13" s="111"/>
      <c r="B13" s="61"/>
      <c r="C13" s="115"/>
      <c r="D13" s="116"/>
      <c r="E13" s="87"/>
      <c r="F13" s="111"/>
      <c r="G13" s="61"/>
      <c r="H13" s="115"/>
      <c r="I13" s="116"/>
      <c r="J13" s="115"/>
      <c r="K13" s="111"/>
      <c r="L13" s="61"/>
      <c r="M13" s="115"/>
      <c r="N13" s="116"/>
    </row>
    <row r="14" spans="1:15" x14ac:dyDescent="0.25">
      <c r="A14" s="111" t="s">
        <v>121</v>
      </c>
      <c r="B14" s="61"/>
      <c r="C14" s="117">
        <v>663.98</v>
      </c>
      <c r="D14" s="118">
        <v>349.6</v>
      </c>
      <c r="E14" s="87"/>
      <c r="F14" s="111" t="s">
        <v>121</v>
      </c>
      <c r="G14" s="61"/>
      <c r="H14" s="117">
        <v>663.98</v>
      </c>
      <c r="I14" s="118">
        <v>174.8</v>
      </c>
      <c r="J14" s="117"/>
      <c r="K14" s="111" t="s">
        <v>121</v>
      </c>
      <c r="L14" s="61"/>
      <c r="M14" s="117">
        <v>663.98</v>
      </c>
      <c r="N14" s="118">
        <v>174.8</v>
      </c>
    </row>
    <row r="15" spans="1:15" x14ac:dyDescent="0.25">
      <c r="A15" s="148" t="s">
        <v>5</v>
      </c>
      <c r="B15" s="149"/>
      <c r="C15" s="150">
        <f>C14/2</f>
        <v>331.99</v>
      </c>
      <c r="D15" s="136">
        <f>D14/2</f>
        <v>174.8</v>
      </c>
      <c r="E15" s="87"/>
      <c r="F15" s="148" t="s">
        <v>5</v>
      </c>
      <c r="G15" s="149"/>
      <c r="H15" s="150">
        <f>H14/2</f>
        <v>331.99</v>
      </c>
      <c r="I15" s="136">
        <f>I14/2</f>
        <v>87.4</v>
      </c>
      <c r="J15" s="156"/>
      <c r="K15" s="148" t="s">
        <v>5</v>
      </c>
      <c r="L15" s="149"/>
      <c r="M15" s="150">
        <v>331.99</v>
      </c>
      <c r="N15" s="136">
        <f>N14/2</f>
        <v>87.4</v>
      </c>
    </row>
    <row r="16" spans="1:15" x14ac:dyDescent="0.25">
      <c r="A16" s="111"/>
      <c r="B16" s="61"/>
      <c r="C16" s="117"/>
      <c r="D16" s="119"/>
      <c r="E16" s="87"/>
      <c r="F16" s="111"/>
      <c r="G16" s="61"/>
      <c r="H16" s="117"/>
      <c r="I16" s="119"/>
      <c r="J16" s="156"/>
      <c r="K16" s="111"/>
      <c r="L16" s="61"/>
      <c r="M16" s="117"/>
      <c r="N16" s="119"/>
    </row>
    <row r="17" spans="1:14" x14ac:dyDescent="0.25">
      <c r="A17" s="111"/>
      <c r="B17" s="61"/>
      <c r="C17" s="117"/>
      <c r="D17" s="119"/>
      <c r="E17" s="87"/>
      <c r="F17" s="111"/>
      <c r="G17" s="61"/>
      <c r="H17" s="117"/>
      <c r="I17" s="119"/>
      <c r="J17" s="156"/>
      <c r="K17" s="111"/>
      <c r="L17" s="61"/>
      <c r="M17" s="117"/>
      <c r="N17" s="119"/>
    </row>
    <row r="18" spans="1:14" x14ac:dyDescent="0.25">
      <c r="A18" s="946" t="s">
        <v>122</v>
      </c>
      <c r="B18" s="829"/>
      <c r="C18" s="829"/>
      <c r="D18" s="947"/>
      <c r="E18" s="87"/>
      <c r="F18" s="946" t="s">
        <v>140</v>
      </c>
      <c r="G18" s="829"/>
      <c r="H18" s="829"/>
      <c r="I18" s="947"/>
      <c r="J18" s="163"/>
      <c r="K18" s="946" t="s">
        <v>140</v>
      </c>
      <c r="L18" s="829"/>
      <c r="M18" s="829"/>
      <c r="N18" s="947"/>
    </row>
    <row r="19" spans="1:14" x14ac:dyDescent="0.25">
      <c r="A19" s="120"/>
      <c r="B19" s="61"/>
      <c r="C19" s="121"/>
      <c r="D19" s="122"/>
      <c r="E19" s="110"/>
      <c r="F19" s="262"/>
      <c r="G19" s="263"/>
      <c r="H19" s="268" t="s">
        <v>0</v>
      </c>
      <c r="I19" s="269" t="s">
        <v>1</v>
      </c>
      <c r="J19" s="157"/>
      <c r="K19" s="14"/>
      <c r="L19" s="273"/>
      <c r="M19" s="274" t="s">
        <v>0</v>
      </c>
      <c r="N19" s="275" t="s">
        <v>1</v>
      </c>
    </row>
    <row r="20" spans="1:14" ht="15" customHeight="1" x14ac:dyDescent="0.25">
      <c r="A20" s="980" t="s">
        <v>134</v>
      </c>
      <c r="B20" s="981"/>
      <c r="C20" s="981"/>
      <c r="D20" s="982"/>
      <c r="E20" s="92"/>
      <c r="F20" s="261"/>
      <c r="G20" s="163"/>
      <c r="H20" s="270">
        <v>40360</v>
      </c>
      <c r="I20" s="271">
        <v>40360</v>
      </c>
      <c r="J20" s="117"/>
      <c r="K20" s="14"/>
      <c r="L20" s="273"/>
      <c r="M20" s="276">
        <v>39630</v>
      </c>
      <c r="N20" s="277">
        <v>39630</v>
      </c>
    </row>
    <row r="21" spans="1:14" x14ac:dyDescent="0.25">
      <c r="A21" s="980"/>
      <c r="B21" s="981"/>
      <c r="C21" s="981"/>
      <c r="D21" s="982"/>
      <c r="E21" s="92"/>
      <c r="F21" s="120" t="s">
        <v>107</v>
      </c>
      <c r="G21" s="142"/>
      <c r="H21" s="106">
        <v>331.99</v>
      </c>
      <c r="I21" s="265">
        <v>87.4</v>
      </c>
      <c r="J21" s="156"/>
      <c r="K21" s="120" t="s">
        <v>107</v>
      </c>
      <c r="L21" s="61"/>
      <c r="M21" s="117">
        <v>331.99</v>
      </c>
      <c r="N21" s="119">
        <f>N15</f>
        <v>87.4</v>
      </c>
    </row>
    <row r="22" spans="1:14" x14ac:dyDescent="0.25">
      <c r="A22" s="980"/>
      <c r="B22" s="981"/>
      <c r="C22" s="981"/>
      <c r="D22" s="982"/>
      <c r="E22" s="108"/>
      <c r="F22" s="131"/>
      <c r="G22" s="143"/>
      <c r="H22" s="117"/>
      <c r="I22" s="119"/>
      <c r="J22" s="158"/>
      <c r="K22" s="123"/>
      <c r="L22" s="143"/>
      <c r="M22" s="125"/>
      <c r="N22" s="16"/>
    </row>
    <row r="23" spans="1:14" x14ac:dyDescent="0.25">
      <c r="A23" s="120"/>
      <c r="B23" s="144"/>
      <c r="C23" s="121"/>
      <c r="D23" s="122"/>
      <c r="E23" s="110"/>
      <c r="F23" s="120" t="s">
        <v>108</v>
      </c>
      <c r="G23" s="143"/>
      <c r="H23" s="156">
        <f>H15*0.87</f>
        <v>288.8313</v>
      </c>
      <c r="I23" s="119">
        <f>I15*87%</f>
        <v>76.038000000000011</v>
      </c>
      <c r="J23" s="157"/>
      <c r="K23" s="120" t="s">
        <v>108</v>
      </c>
      <c r="L23" s="143"/>
      <c r="M23" s="156">
        <v>288.83</v>
      </c>
      <c r="N23" s="119">
        <f>N15*87%</f>
        <v>76.038000000000011</v>
      </c>
    </row>
    <row r="24" spans="1:14" x14ac:dyDescent="0.25">
      <c r="A24" s="123"/>
      <c r="B24" s="143"/>
      <c r="C24" s="125"/>
      <c r="D24" s="119"/>
      <c r="E24" s="92"/>
      <c r="F24" s="126"/>
      <c r="G24" s="144"/>
      <c r="H24" s="121"/>
      <c r="I24" s="127"/>
      <c r="J24" s="156"/>
      <c r="K24" s="126"/>
      <c r="L24" s="144"/>
      <c r="M24" s="121"/>
      <c r="N24" s="127"/>
    </row>
    <row r="25" spans="1:14" x14ac:dyDescent="0.25">
      <c r="A25" s="123"/>
      <c r="B25" s="143"/>
      <c r="C25" s="125"/>
      <c r="D25" s="119"/>
      <c r="E25" s="92"/>
      <c r="F25" s="130" t="s">
        <v>110</v>
      </c>
      <c r="G25" s="144"/>
      <c r="H25" s="156">
        <f>H15*75%</f>
        <v>248.99250000000001</v>
      </c>
      <c r="I25" s="264">
        <f>I15*75%</f>
        <v>65.550000000000011</v>
      </c>
      <c r="J25" s="156"/>
      <c r="K25" s="130" t="s">
        <v>110</v>
      </c>
      <c r="L25" s="144"/>
      <c r="M25" s="156">
        <v>248.99</v>
      </c>
      <c r="N25" s="119">
        <f>N15*75%</f>
        <v>65.550000000000011</v>
      </c>
    </row>
    <row r="26" spans="1:14" x14ac:dyDescent="0.25">
      <c r="A26" s="128"/>
      <c r="B26" s="145"/>
      <c r="C26" s="125"/>
      <c r="D26" s="129"/>
      <c r="E26" s="108"/>
      <c r="F26" s="131"/>
      <c r="G26" s="143"/>
      <c r="H26" s="125"/>
      <c r="I26" s="16"/>
      <c r="J26" s="159"/>
      <c r="K26" s="123"/>
      <c r="L26" s="143"/>
      <c r="M26" s="125"/>
      <c r="N26" s="16"/>
    </row>
    <row r="27" spans="1:14" x14ac:dyDescent="0.25">
      <c r="A27" s="130"/>
      <c r="B27" s="145"/>
      <c r="C27" s="125"/>
      <c r="D27" s="113"/>
      <c r="E27" s="110"/>
      <c r="F27" s="130" t="s">
        <v>109</v>
      </c>
      <c r="G27" s="143"/>
      <c r="H27" s="160">
        <f>H15*0.62</f>
        <v>205.8338</v>
      </c>
      <c r="I27" s="132">
        <f>I15*62%</f>
        <v>54.188000000000002</v>
      </c>
      <c r="J27" s="112"/>
      <c r="K27" s="130" t="s">
        <v>109</v>
      </c>
      <c r="L27" s="143"/>
      <c r="M27" s="160">
        <v>205.83</v>
      </c>
      <c r="N27" s="132">
        <f>N15*62%</f>
        <v>54.188000000000002</v>
      </c>
    </row>
    <row r="28" spans="1:14" x14ac:dyDescent="0.25">
      <c r="A28" s="131"/>
      <c r="B28" s="146"/>
      <c r="C28" s="125"/>
      <c r="D28" s="119"/>
      <c r="E28" s="110"/>
      <c r="F28" s="128"/>
      <c r="G28" s="145"/>
      <c r="H28" s="125"/>
      <c r="I28" s="129"/>
      <c r="J28" s="156"/>
      <c r="K28" s="128"/>
      <c r="L28" s="145"/>
      <c r="M28" s="125"/>
      <c r="N28" s="129"/>
    </row>
    <row r="29" spans="1:14" x14ac:dyDescent="0.25">
      <c r="A29" s="123"/>
      <c r="B29" s="143"/>
      <c r="C29" s="125"/>
      <c r="D29" s="119"/>
      <c r="E29" s="92"/>
      <c r="F29" s="130" t="s">
        <v>106</v>
      </c>
      <c r="G29" s="145"/>
      <c r="H29" s="156">
        <f>H15*0.5</f>
        <v>165.995</v>
      </c>
      <c r="I29" s="119">
        <f>I15*50%</f>
        <v>43.7</v>
      </c>
      <c r="J29" s="156"/>
      <c r="K29" s="130" t="s">
        <v>106</v>
      </c>
      <c r="L29" s="145"/>
      <c r="M29" s="156">
        <v>166</v>
      </c>
      <c r="N29" s="119">
        <f>N15*50%</f>
        <v>43.7</v>
      </c>
    </row>
    <row r="30" spans="1:14" x14ac:dyDescent="0.25">
      <c r="A30" s="128"/>
      <c r="B30" s="145"/>
      <c r="C30" s="125"/>
      <c r="D30" s="129"/>
      <c r="E30" s="108"/>
      <c r="F30" s="177"/>
      <c r="G30" s="266"/>
      <c r="H30" s="135"/>
      <c r="I30" s="267"/>
      <c r="J30" s="159"/>
      <c r="K30" s="177"/>
      <c r="L30" s="266"/>
      <c r="M30" s="135"/>
      <c r="N30" s="267"/>
    </row>
    <row r="31" spans="1:14" x14ac:dyDescent="0.25">
      <c r="A31" s="130"/>
      <c r="B31" s="145"/>
      <c r="C31" s="125"/>
      <c r="D31" s="113"/>
      <c r="E31" s="110"/>
      <c r="F31" s="91"/>
      <c r="G31" s="143"/>
      <c r="H31" s="125"/>
      <c r="I31" s="156"/>
      <c r="J31" s="112"/>
      <c r="K31" s="124"/>
      <c r="L31" s="143"/>
      <c r="M31" s="125"/>
      <c r="N31" s="15"/>
    </row>
    <row r="32" spans="1:14" x14ac:dyDescent="0.25">
      <c r="A32" s="123"/>
      <c r="B32" s="143"/>
      <c r="C32" s="125"/>
      <c r="D32" s="132"/>
      <c r="E32" s="92"/>
      <c r="F32" s="125"/>
      <c r="G32" s="145"/>
      <c r="H32" s="125"/>
      <c r="I32" s="159"/>
      <c r="J32" s="160"/>
      <c r="K32" s="125"/>
      <c r="L32" s="145"/>
      <c r="M32" s="125"/>
      <c r="N32" s="159"/>
    </row>
    <row r="33" spans="1:14" x14ac:dyDescent="0.25">
      <c r="A33" s="123"/>
      <c r="B33" s="143"/>
      <c r="C33" s="125"/>
      <c r="D33" s="132"/>
      <c r="E33" s="92"/>
      <c r="F33" s="15"/>
      <c r="G33" s="145"/>
      <c r="H33" s="125"/>
      <c r="I33" s="112"/>
      <c r="J33" s="160"/>
      <c r="K33" s="15"/>
      <c r="L33" s="145"/>
      <c r="M33" s="125"/>
      <c r="N33" s="112"/>
    </row>
    <row r="34" spans="1:14" x14ac:dyDescent="0.25">
      <c r="A34" s="128"/>
      <c r="B34" s="145"/>
      <c r="C34" s="125"/>
      <c r="D34" s="133"/>
      <c r="E34" s="108"/>
      <c r="F34" s="91"/>
      <c r="G34" s="143"/>
      <c r="H34" s="125"/>
      <c r="I34" s="15"/>
      <c r="J34" s="161"/>
      <c r="K34" s="124"/>
      <c r="L34" s="143"/>
      <c r="M34" s="125"/>
      <c r="N34" s="15"/>
    </row>
    <row r="35" spans="1:14" x14ac:dyDescent="0.25">
      <c r="A35" s="130"/>
      <c r="B35" s="143"/>
      <c r="C35" s="124"/>
      <c r="D35" s="113"/>
      <c r="E35" s="110"/>
      <c r="F35" s="91"/>
      <c r="G35" s="143"/>
      <c r="H35" s="125"/>
      <c r="I35" s="15"/>
      <c r="J35" s="112"/>
      <c r="K35" s="124"/>
      <c r="L35" s="143"/>
      <c r="M35" s="125"/>
      <c r="N35" s="15"/>
    </row>
    <row r="36" spans="1:14" x14ac:dyDescent="0.25">
      <c r="A36" s="123"/>
      <c r="B36" s="143"/>
      <c r="C36" s="125"/>
      <c r="D36" s="119"/>
      <c r="E36" s="92"/>
      <c r="F36" s="125"/>
      <c r="G36" s="145"/>
      <c r="H36" s="125"/>
      <c r="I36" s="161"/>
      <c r="J36" s="156"/>
      <c r="K36" s="125"/>
      <c r="L36" s="145"/>
      <c r="M36" s="125"/>
      <c r="N36" s="161"/>
    </row>
    <row r="37" spans="1:14" x14ac:dyDescent="0.25">
      <c r="A37" s="134"/>
      <c r="B37" s="147"/>
      <c r="C37" s="135"/>
      <c r="D37" s="136"/>
      <c r="E37" s="92"/>
      <c r="F37" s="15"/>
      <c r="G37" s="143"/>
      <c r="H37" s="124"/>
      <c r="I37" s="112"/>
      <c r="J37" s="156"/>
      <c r="K37" s="15"/>
      <c r="L37" s="143"/>
      <c r="M37" s="124"/>
      <c r="N37" s="112"/>
    </row>
    <row r="38" spans="1:14" x14ac:dyDescent="0.25">
      <c r="A38" s="68"/>
      <c r="B38" s="68"/>
      <c r="C38" s="68"/>
      <c r="D38" s="70"/>
      <c r="E38" s="108"/>
      <c r="F38" s="91"/>
      <c r="G38" s="143"/>
      <c r="H38" s="125"/>
      <c r="I38" s="15"/>
      <c r="K38" s="124"/>
      <c r="L38" s="143"/>
      <c r="M38" s="125"/>
      <c r="N38" s="15"/>
    </row>
    <row r="39" spans="1:14" x14ac:dyDescent="0.25">
      <c r="A39" s="91"/>
      <c r="B39" s="92"/>
      <c r="C39" s="92"/>
      <c r="D39" s="67"/>
      <c r="E39" s="75"/>
      <c r="F39" s="91"/>
      <c r="G39" s="143"/>
      <c r="H39" s="125"/>
      <c r="I39" s="15"/>
      <c r="K39" s="124"/>
      <c r="L39" s="143"/>
      <c r="M39" s="125"/>
      <c r="N39" s="15"/>
    </row>
    <row r="40" spans="1:14" x14ac:dyDescent="0.25">
      <c r="A40" s="91"/>
      <c r="B40" s="68"/>
      <c r="C40" s="68"/>
      <c r="D40" s="70"/>
      <c r="E40" s="68"/>
      <c r="K40" s="272"/>
      <c r="L40" s="121"/>
      <c r="M40" s="121"/>
      <c r="N40" s="15"/>
    </row>
    <row r="41" spans="1:14" x14ac:dyDescent="0.25">
      <c r="A41" s="64"/>
      <c r="D41" s="63"/>
      <c r="K41" s="62"/>
    </row>
  </sheetData>
  <mergeCells count="14">
    <mergeCell ref="A20:D22"/>
    <mergeCell ref="A1:N1"/>
    <mergeCell ref="A2:N2"/>
    <mergeCell ref="A3:N3"/>
    <mergeCell ref="F7:I7"/>
    <mergeCell ref="F8:I8"/>
    <mergeCell ref="A18:D18"/>
    <mergeCell ref="K18:N18"/>
    <mergeCell ref="A10:D10"/>
    <mergeCell ref="K10:N10"/>
    <mergeCell ref="K7:N7"/>
    <mergeCell ref="A7:D7"/>
    <mergeCell ref="F10:I10"/>
    <mergeCell ref="F18:I18"/>
  </mergeCells>
  <pageMargins left="0.27" right="0.14000000000000001" top="0.23" bottom="0.24" header="0.25" footer="0.19"/>
  <pageSetup paperSize="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</sheetPr>
  <dimension ref="A1:H61"/>
  <sheetViews>
    <sheetView zoomScaleNormal="100" workbookViewId="0">
      <selection activeCell="I29" sqref="I29"/>
    </sheetView>
  </sheetViews>
  <sheetFormatPr defaultRowHeight="15" x14ac:dyDescent="0.25"/>
  <cols>
    <col min="1" max="1" width="22" bestFit="1" customWidth="1"/>
    <col min="2" max="7" width="11.28515625" customWidth="1"/>
    <col min="8" max="8" width="9.42578125" customWidth="1"/>
  </cols>
  <sheetData>
    <row r="1" spans="1:8" ht="18.75" x14ac:dyDescent="0.3">
      <c r="A1" s="998" t="s">
        <v>164</v>
      </c>
      <c r="B1" s="998"/>
      <c r="C1" s="998"/>
      <c r="D1" s="998"/>
      <c r="E1" s="998"/>
      <c r="F1" s="998"/>
      <c r="G1" s="998"/>
    </row>
    <row r="2" spans="1:8" ht="19.5" thickBot="1" x14ac:dyDescent="0.35">
      <c r="A2" s="284"/>
      <c r="B2" s="284"/>
      <c r="C2" s="284"/>
      <c r="D2" s="284"/>
      <c r="E2" s="284"/>
      <c r="F2" s="284"/>
      <c r="G2" s="284"/>
    </row>
    <row r="3" spans="1:8" ht="19.5" thickBot="1" x14ac:dyDescent="0.35">
      <c r="A3" s="285" t="s">
        <v>128</v>
      </c>
      <c r="B3" s="286"/>
      <c r="C3" s="286" t="s">
        <v>24</v>
      </c>
      <c r="D3" s="286"/>
      <c r="E3" s="286" t="s">
        <v>25</v>
      </c>
      <c r="F3" s="286"/>
      <c r="G3" s="287" t="s">
        <v>26</v>
      </c>
    </row>
    <row r="4" spans="1:8" ht="15.75" x14ac:dyDescent="0.25">
      <c r="A4" s="997" t="s">
        <v>148</v>
      </c>
      <c r="B4" s="997"/>
      <c r="C4" s="997"/>
      <c r="D4" s="997"/>
      <c r="E4" s="997"/>
      <c r="F4" s="997"/>
      <c r="G4" s="997"/>
    </row>
    <row r="5" spans="1:8" ht="15" customHeight="1" x14ac:dyDescent="0.25">
      <c r="A5" s="288"/>
      <c r="B5" s="288"/>
      <c r="C5" s="288"/>
      <c r="D5" s="288"/>
      <c r="E5" s="288"/>
      <c r="F5" s="289"/>
      <c r="G5" s="288"/>
    </row>
    <row r="6" spans="1:8" ht="15" customHeight="1" x14ac:dyDescent="0.25">
      <c r="A6" s="288" t="s">
        <v>124</v>
      </c>
      <c r="B6" s="288"/>
      <c r="C6" s="290">
        <f>E6/2</f>
        <v>2.52</v>
      </c>
      <c r="D6" s="288"/>
      <c r="E6" s="290">
        <v>5.04</v>
      </c>
      <c r="F6" s="289"/>
      <c r="G6" s="290">
        <f>E6*12</f>
        <v>60.480000000000004</v>
      </c>
    </row>
    <row r="7" spans="1:8" ht="15" customHeight="1" x14ac:dyDescent="0.25">
      <c r="A7" s="288" t="s">
        <v>125</v>
      </c>
      <c r="B7" s="288"/>
      <c r="C7" s="290">
        <f>E7/2</f>
        <v>4.54</v>
      </c>
      <c r="D7" s="288"/>
      <c r="E7" s="290">
        <v>9.08</v>
      </c>
      <c r="F7" s="289"/>
      <c r="G7" s="290">
        <f>E7*12</f>
        <v>108.96000000000001</v>
      </c>
    </row>
    <row r="8" spans="1:8" ht="15" customHeight="1" x14ac:dyDescent="0.25">
      <c r="A8" s="288" t="s">
        <v>126</v>
      </c>
      <c r="B8" s="288"/>
      <c r="C8" s="290">
        <v>4.78</v>
      </c>
      <c r="D8" s="288"/>
      <c r="E8" s="290">
        <v>9.57</v>
      </c>
      <c r="F8" s="289"/>
      <c r="G8" s="290">
        <f>E8*12</f>
        <v>114.84</v>
      </c>
    </row>
    <row r="9" spans="1:8" ht="15" customHeight="1" x14ac:dyDescent="0.25">
      <c r="A9" s="288" t="s">
        <v>127</v>
      </c>
      <c r="B9" s="288"/>
      <c r="C9" s="290">
        <f>E9/2</f>
        <v>7.5650000000000004</v>
      </c>
      <c r="D9" s="288"/>
      <c r="E9" s="290">
        <v>15.13</v>
      </c>
      <c r="F9" s="289"/>
      <c r="G9" s="290">
        <f>E9*12</f>
        <v>181.56</v>
      </c>
    </row>
    <row r="10" spans="1:8" ht="15" customHeight="1" thickBot="1" x14ac:dyDescent="0.3">
      <c r="A10" s="288"/>
      <c r="B10" s="288"/>
      <c r="C10" s="288"/>
      <c r="D10" s="288"/>
      <c r="E10" s="288"/>
      <c r="F10" s="289"/>
      <c r="G10" s="288"/>
    </row>
    <row r="11" spans="1:8" ht="19.5" thickBot="1" x14ac:dyDescent="0.35">
      <c r="A11" s="285" t="s">
        <v>129</v>
      </c>
      <c r="B11" s="286"/>
      <c r="C11" s="286" t="s">
        <v>24</v>
      </c>
      <c r="D11" s="286"/>
      <c r="E11" s="286" t="s">
        <v>25</v>
      </c>
      <c r="F11" s="286"/>
      <c r="G11" s="287" t="s">
        <v>26</v>
      </c>
    </row>
    <row r="12" spans="1:8" ht="15.75" x14ac:dyDescent="0.25">
      <c r="A12" s="997" t="s">
        <v>149</v>
      </c>
      <c r="B12" s="997"/>
      <c r="C12" s="997"/>
      <c r="D12" s="997"/>
      <c r="E12" s="997"/>
      <c r="F12" s="997"/>
      <c r="G12" s="997"/>
    </row>
    <row r="13" spans="1:8" ht="12" customHeight="1" x14ac:dyDescent="0.25">
      <c r="A13" s="288"/>
      <c r="B13" s="288"/>
      <c r="C13" s="288"/>
      <c r="D13" s="288"/>
      <c r="E13" s="288"/>
      <c r="F13" s="289"/>
      <c r="G13" s="288"/>
    </row>
    <row r="14" spans="1:8" ht="15" customHeight="1" x14ac:dyDescent="0.25">
      <c r="A14" s="288" t="s">
        <v>3</v>
      </c>
      <c r="B14" s="288"/>
      <c r="C14" s="290">
        <v>52.16</v>
      </c>
      <c r="D14" s="288"/>
      <c r="E14" s="290">
        <f>C14*2</f>
        <v>104.32</v>
      </c>
      <c r="F14" s="289"/>
      <c r="G14" s="290">
        <f>E14*12</f>
        <v>1251.8399999999999</v>
      </c>
      <c r="H14" s="97"/>
    </row>
    <row r="15" spans="1:8" ht="12" customHeight="1" x14ac:dyDescent="0.25">
      <c r="A15" s="288"/>
      <c r="B15" s="288"/>
      <c r="C15" s="288"/>
      <c r="D15" s="288"/>
      <c r="E15" s="288"/>
      <c r="F15" s="289"/>
      <c r="G15" s="288"/>
      <c r="H15" s="97"/>
    </row>
    <row r="16" spans="1:8" ht="15" customHeight="1" x14ac:dyDescent="0.25">
      <c r="A16" s="288" t="s">
        <v>2</v>
      </c>
      <c r="B16" s="288"/>
      <c r="C16" s="290">
        <v>20.149999999999999</v>
      </c>
      <c r="D16" s="288"/>
      <c r="E16" s="290">
        <f>C16*2</f>
        <v>40.299999999999997</v>
      </c>
      <c r="F16" s="289"/>
      <c r="G16" s="290">
        <f>E16*12</f>
        <v>483.59999999999997</v>
      </c>
      <c r="H16" s="97"/>
    </row>
    <row r="17" spans="1:8" ht="14.25" customHeight="1" thickBot="1" x14ac:dyDescent="0.3">
      <c r="A17" s="288"/>
      <c r="B17" s="288"/>
      <c r="C17" s="288"/>
      <c r="D17" s="288"/>
      <c r="E17" s="288"/>
      <c r="F17" s="289"/>
      <c r="G17" s="288"/>
    </row>
    <row r="18" spans="1:8" ht="19.5" thickBot="1" x14ac:dyDescent="0.35">
      <c r="A18" s="999" t="s">
        <v>14</v>
      </c>
      <c r="B18" s="1000"/>
      <c r="C18" s="1000"/>
      <c r="D18" s="1000"/>
      <c r="E18" s="1000"/>
      <c r="F18" s="1000"/>
      <c r="G18" s="1001"/>
      <c r="H18" s="71"/>
    </row>
    <row r="19" spans="1:8" s="195" customFormat="1" ht="15.75" x14ac:dyDescent="0.25">
      <c r="A19" s="997" t="s">
        <v>148</v>
      </c>
      <c r="B19" s="997"/>
      <c r="C19" s="997"/>
      <c r="D19" s="997"/>
      <c r="E19" s="997"/>
      <c r="F19" s="997"/>
      <c r="G19" s="997"/>
    </row>
    <row r="20" spans="1:8" ht="15.75" x14ac:dyDescent="0.25">
      <c r="A20" s="291"/>
      <c r="B20" s="291"/>
      <c r="C20" s="291"/>
      <c r="D20" s="291"/>
      <c r="E20" s="291"/>
      <c r="F20" s="291"/>
      <c r="G20" s="291"/>
      <c r="H20" s="71"/>
    </row>
    <row r="21" spans="1:8" ht="15.75" x14ac:dyDescent="0.25">
      <c r="A21" s="288"/>
      <c r="B21" s="288" t="s">
        <v>184</v>
      </c>
      <c r="C21" s="288"/>
      <c r="D21" s="288"/>
      <c r="E21" s="288"/>
      <c r="F21" s="289"/>
      <c r="G21" s="288"/>
    </row>
    <row r="22" spans="1:8" ht="16.5" thickBot="1" x14ac:dyDescent="0.3">
      <c r="A22" s="288"/>
      <c r="B22" s="288" t="s">
        <v>185</v>
      </c>
      <c r="C22" s="288"/>
      <c r="D22" s="288"/>
      <c r="E22" s="288"/>
      <c r="F22" s="289"/>
      <c r="G22" s="288"/>
    </row>
    <row r="23" spans="1:8" ht="19.5" thickBot="1" x14ac:dyDescent="0.35">
      <c r="A23" s="999" t="s">
        <v>150</v>
      </c>
      <c r="B23" s="1000"/>
      <c r="C23" s="1000"/>
      <c r="D23" s="1000"/>
      <c r="E23" s="1000"/>
      <c r="F23" s="1000"/>
      <c r="G23" s="1001"/>
      <c r="H23" s="71"/>
    </row>
    <row r="24" spans="1:8" s="197" customFormat="1" ht="15.75" x14ac:dyDescent="0.25">
      <c r="A24" s="997" t="s">
        <v>149</v>
      </c>
      <c r="B24" s="997"/>
      <c r="C24" s="997"/>
      <c r="D24" s="997"/>
      <c r="E24" s="997"/>
      <c r="F24" s="997"/>
      <c r="G24" s="997"/>
      <c r="H24" s="196"/>
    </row>
    <row r="25" spans="1:8" ht="15.75" x14ac:dyDescent="0.25">
      <c r="A25" s="291"/>
      <c r="B25" s="291"/>
      <c r="C25" s="291"/>
      <c r="D25" s="291"/>
      <c r="E25" s="291"/>
      <c r="F25" s="291"/>
      <c r="G25" s="291"/>
      <c r="H25" s="71"/>
    </row>
    <row r="26" spans="1:8" ht="15.75" x14ac:dyDescent="0.25">
      <c r="A26" s="288"/>
      <c r="B26" s="288" t="s">
        <v>165</v>
      </c>
      <c r="C26" s="288"/>
      <c r="D26" s="288"/>
      <c r="E26" s="288"/>
      <c r="F26" s="289"/>
      <c r="G26" s="288"/>
    </row>
    <row r="27" spans="1:8" ht="14.25" customHeight="1" thickBot="1" x14ac:dyDescent="0.3">
      <c r="A27" s="288"/>
      <c r="B27" s="288"/>
      <c r="C27" s="288"/>
      <c r="D27" s="288"/>
      <c r="E27" s="288"/>
      <c r="F27" s="289"/>
      <c r="G27" s="288"/>
    </row>
    <row r="28" spans="1:8" ht="15.75" customHeight="1" thickBot="1" x14ac:dyDescent="0.35">
      <c r="A28" s="1002" t="s">
        <v>183</v>
      </c>
      <c r="B28" s="1003"/>
      <c r="C28" s="1003"/>
      <c r="D28" s="1003"/>
      <c r="E28" s="1003"/>
      <c r="F28" s="1003"/>
      <c r="G28" s="1004"/>
    </row>
    <row r="29" spans="1:8" ht="15.75" x14ac:dyDescent="0.25">
      <c r="A29" s="292"/>
      <c r="B29" s="291"/>
      <c r="C29" s="291"/>
      <c r="D29" s="291"/>
      <c r="E29" s="291"/>
      <c r="F29" s="291"/>
      <c r="G29" s="292"/>
    </row>
    <row r="30" spans="1:8" ht="15.75" x14ac:dyDescent="0.25">
      <c r="A30" s="292"/>
      <c r="B30" s="291"/>
      <c r="C30" s="293" t="s">
        <v>130</v>
      </c>
      <c r="D30" s="291"/>
      <c r="E30" s="293" t="s">
        <v>131</v>
      </c>
      <c r="F30" s="288"/>
      <c r="G30" s="293" t="s">
        <v>132</v>
      </c>
    </row>
    <row r="31" spans="1:8" ht="16.5" thickBot="1" x14ac:dyDescent="0.3">
      <c r="A31" s="294"/>
      <c r="B31" s="294"/>
      <c r="C31" s="295" t="s">
        <v>83</v>
      </c>
      <c r="D31" s="294"/>
      <c r="E31" s="295" t="s">
        <v>6</v>
      </c>
      <c r="F31" s="294"/>
      <c r="G31" s="294"/>
    </row>
    <row r="32" spans="1:8" ht="15.75" x14ac:dyDescent="0.25">
      <c r="A32" s="292"/>
      <c r="B32" s="292"/>
      <c r="C32" s="296">
        <f>+E32</f>
        <v>7</v>
      </c>
      <c r="D32" s="292"/>
      <c r="E32" s="296">
        <v>7</v>
      </c>
      <c r="F32" s="297"/>
      <c r="G32" s="296">
        <f>SUM(C32+E32)</f>
        <v>14</v>
      </c>
    </row>
    <row r="33" spans="1:7" ht="12" customHeight="1" thickBot="1" x14ac:dyDescent="0.3">
      <c r="A33" s="288"/>
      <c r="B33" s="288"/>
      <c r="C33" s="288"/>
      <c r="D33" s="288"/>
      <c r="E33" s="288"/>
      <c r="F33" s="289"/>
      <c r="G33" s="288"/>
    </row>
    <row r="34" spans="1:7" ht="19.5" thickBot="1" x14ac:dyDescent="0.35">
      <c r="A34" s="298" t="s">
        <v>142</v>
      </c>
      <c r="B34" s="299"/>
      <c r="C34" s="299"/>
      <c r="D34" s="299"/>
      <c r="E34" s="299"/>
      <c r="F34" s="300"/>
      <c r="G34" s="301"/>
    </row>
    <row r="35" spans="1:7" ht="15.75" x14ac:dyDescent="0.25">
      <c r="A35" s="302"/>
      <c r="B35" s="303"/>
      <c r="C35" s="303"/>
      <c r="D35" s="303"/>
      <c r="E35" s="303"/>
      <c r="F35" s="304"/>
      <c r="G35" s="303"/>
    </row>
    <row r="36" spans="1:7" ht="15.75" x14ac:dyDescent="0.25">
      <c r="A36" s="996" t="s">
        <v>166</v>
      </c>
      <c r="B36" s="996"/>
      <c r="C36" s="996"/>
      <c r="D36" s="996"/>
      <c r="E36" s="996"/>
      <c r="F36" s="996"/>
      <c r="G36" s="996"/>
    </row>
    <row r="37" spans="1:7" ht="15.75" x14ac:dyDescent="0.25">
      <c r="A37" s="996" t="s">
        <v>167</v>
      </c>
      <c r="B37" s="996"/>
      <c r="C37" s="996"/>
      <c r="D37" s="996"/>
      <c r="E37" s="996"/>
      <c r="F37" s="996"/>
      <c r="G37" s="996"/>
    </row>
    <row r="38" spans="1:7" ht="16.5" thickBot="1" x14ac:dyDescent="0.3">
      <c r="A38" s="293"/>
      <c r="B38" s="293"/>
      <c r="C38" s="293"/>
      <c r="D38" s="293"/>
      <c r="E38" s="293"/>
      <c r="F38" s="293"/>
      <c r="G38" s="293"/>
    </row>
    <row r="39" spans="1:7" ht="19.5" thickBot="1" x14ac:dyDescent="0.35">
      <c r="A39" s="305" t="s">
        <v>141</v>
      </c>
      <c r="B39" s="306"/>
      <c r="C39" s="306"/>
      <c r="D39" s="306"/>
      <c r="E39" s="306"/>
      <c r="F39" s="306"/>
      <c r="G39" s="307"/>
    </row>
    <row r="40" spans="1:7" ht="15.75" x14ac:dyDescent="0.25">
      <c r="A40" s="308"/>
      <c r="B40" s="293"/>
      <c r="C40" s="293"/>
      <c r="D40" s="293"/>
      <c r="E40" s="293"/>
      <c r="F40" s="293"/>
      <c r="G40" s="293"/>
    </row>
    <row r="41" spans="1:7" ht="15.75" x14ac:dyDescent="0.25">
      <c r="A41" s="996" t="s">
        <v>168</v>
      </c>
      <c r="B41" s="996"/>
      <c r="C41" s="996"/>
      <c r="D41" s="996"/>
      <c r="E41" s="996"/>
      <c r="F41" s="996"/>
      <c r="G41" s="996"/>
    </row>
    <row r="42" spans="1:7" ht="15.75" x14ac:dyDescent="0.25">
      <c r="A42" s="292"/>
      <c r="B42" s="288"/>
      <c r="C42" s="309"/>
      <c r="D42" s="310"/>
      <c r="E42" s="309"/>
      <c r="F42" s="310"/>
      <c r="G42" s="309"/>
    </row>
    <row r="43" spans="1:7" x14ac:dyDescent="0.25">
      <c r="A43" s="66"/>
      <c r="B43" s="66"/>
      <c r="C43" s="66"/>
      <c r="D43" s="66"/>
      <c r="E43" s="66"/>
      <c r="F43" s="66"/>
      <c r="G43" s="66"/>
    </row>
    <row r="48" spans="1:7" ht="15.75" x14ac:dyDescent="0.25">
      <c r="A48" s="182"/>
      <c r="B48" s="182"/>
      <c r="C48" s="182"/>
      <c r="D48" s="182"/>
      <c r="E48" s="182"/>
      <c r="F48" s="183"/>
      <c r="G48" s="182"/>
    </row>
    <row r="58" spans="1:7" x14ac:dyDescent="0.25">
      <c r="A58" s="85"/>
      <c r="B58" s="85"/>
      <c r="C58" s="85"/>
      <c r="D58" s="85"/>
      <c r="E58" s="85"/>
      <c r="F58" s="86"/>
      <c r="G58" s="85"/>
    </row>
    <row r="59" spans="1:7" x14ac:dyDescent="0.25">
      <c r="A59" s="85"/>
      <c r="B59" s="85"/>
      <c r="C59" s="85"/>
      <c r="D59" s="85"/>
      <c r="E59" s="85"/>
      <c r="F59" s="85"/>
      <c r="G59" s="85"/>
    </row>
    <row r="60" spans="1:7" x14ac:dyDescent="0.25">
      <c r="A60" s="85"/>
      <c r="B60" s="85"/>
      <c r="C60" s="85"/>
      <c r="D60" s="85"/>
      <c r="E60" s="85"/>
      <c r="F60" s="85"/>
      <c r="G60" s="85"/>
    </row>
    <row r="61" spans="1:7" x14ac:dyDescent="0.25">
      <c r="A61" s="85"/>
      <c r="B61" s="85"/>
      <c r="C61" s="85"/>
      <c r="D61" s="85"/>
      <c r="E61" s="85"/>
      <c r="F61" s="85"/>
      <c r="G61" s="85"/>
    </row>
  </sheetData>
  <mergeCells count="11">
    <mergeCell ref="A1:G1"/>
    <mergeCell ref="A36:G36"/>
    <mergeCell ref="A18:G18"/>
    <mergeCell ref="A23:G23"/>
    <mergeCell ref="A28:G28"/>
    <mergeCell ref="A41:G41"/>
    <mergeCell ref="A4:G4"/>
    <mergeCell ref="A12:G12"/>
    <mergeCell ref="A19:G19"/>
    <mergeCell ref="A24:G24"/>
    <mergeCell ref="A37:G37"/>
  </mergeCells>
  <pageMargins left="0.22" right="0.22" top="0.56000000000000005" bottom="0.48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55"/>
  <sheetViews>
    <sheetView workbookViewId="0">
      <selection activeCell="K21" sqref="K21"/>
    </sheetView>
  </sheetViews>
  <sheetFormatPr defaultRowHeight="15" x14ac:dyDescent="0.25"/>
  <cols>
    <col min="1" max="1" width="18.5703125" bestFit="1" customWidth="1"/>
    <col min="8" max="8" width="11.85546875" customWidth="1"/>
  </cols>
  <sheetData>
    <row r="1" spans="1:8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8" ht="18.75" x14ac:dyDescent="0.3">
      <c r="A2" s="1005" t="s">
        <v>164</v>
      </c>
      <c r="B2" s="1005"/>
      <c r="C2" s="1005"/>
      <c r="D2" s="1005"/>
      <c r="E2" s="1005"/>
      <c r="F2" s="1005"/>
      <c r="G2" s="1005"/>
      <c r="H2" s="1005"/>
    </row>
    <row r="3" spans="1:8" ht="18.75" x14ac:dyDescent="0.3">
      <c r="A3" s="1005" t="s">
        <v>119</v>
      </c>
      <c r="B3" s="1005"/>
      <c r="C3" s="1005"/>
      <c r="D3" s="1005"/>
      <c r="E3" s="1005"/>
      <c r="F3" s="1005"/>
      <c r="G3" s="1005"/>
      <c r="H3" s="1005"/>
    </row>
    <row r="4" spans="1:8" x14ac:dyDescent="0.25">
      <c r="A4" s="1006"/>
      <c r="B4" s="1006"/>
      <c r="C4" s="1006"/>
      <c r="D4" s="1006"/>
      <c r="E4" s="1006"/>
      <c r="F4" s="1006"/>
      <c r="G4" s="1006"/>
      <c r="H4" s="1006"/>
    </row>
    <row r="5" spans="1:8" x14ac:dyDescent="0.25">
      <c r="A5" s="311" t="s">
        <v>174</v>
      </c>
      <c r="B5" s="1007" t="s">
        <v>54</v>
      </c>
      <c r="C5" s="1007"/>
      <c r="D5" s="1007"/>
      <c r="E5" s="1008"/>
      <c r="F5" s="312"/>
      <c r="G5" s="312"/>
      <c r="H5" s="312"/>
    </row>
    <row r="6" spans="1:8" x14ac:dyDescent="0.25">
      <c r="A6" s="313"/>
      <c r="B6" s="314">
        <v>0</v>
      </c>
      <c r="C6" s="314">
        <v>1</v>
      </c>
      <c r="D6" s="315" t="s">
        <v>52</v>
      </c>
      <c r="E6" s="316" t="s">
        <v>53</v>
      </c>
      <c r="F6" s="312"/>
      <c r="G6" s="312"/>
      <c r="H6" s="312"/>
    </row>
    <row r="7" spans="1:8" x14ac:dyDescent="0.25">
      <c r="A7" s="317" t="s">
        <v>164</v>
      </c>
      <c r="B7" s="318">
        <v>11.71</v>
      </c>
      <c r="C7" s="318">
        <v>12.21</v>
      </c>
      <c r="D7" s="318">
        <v>12.71</v>
      </c>
      <c r="E7" s="319">
        <v>12.81</v>
      </c>
      <c r="F7" s="312"/>
      <c r="G7" s="312"/>
      <c r="H7" s="312"/>
    </row>
    <row r="8" spans="1:8" x14ac:dyDescent="0.25">
      <c r="A8" s="312"/>
      <c r="B8" s="312"/>
      <c r="C8" s="312"/>
      <c r="D8" s="312"/>
      <c r="E8" s="312"/>
      <c r="F8" s="312"/>
      <c r="G8" s="312"/>
      <c r="H8" s="312"/>
    </row>
    <row r="9" spans="1:8" x14ac:dyDescent="0.25">
      <c r="A9" s="320" t="s">
        <v>9</v>
      </c>
      <c r="B9" s="321"/>
      <c r="C9" s="321"/>
      <c r="D9" s="321"/>
      <c r="E9" s="321"/>
      <c r="F9" s="321"/>
      <c r="G9" s="321"/>
      <c r="H9" s="322"/>
    </row>
    <row r="10" spans="1:8" x14ac:dyDescent="0.25">
      <c r="A10" s="313"/>
      <c r="B10" s="323"/>
      <c r="C10" s="323"/>
      <c r="D10" s="323"/>
      <c r="E10" s="323"/>
      <c r="F10" s="323"/>
      <c r="G10" s="323"/>
      <c r="H10" s="324"/>
    </row>
    <row r="11" spans="1:8" x14ac:dyDescent="0.25">
      <c r="A11" s="325" t="s">
        <v>10</v>
      </c>
      <c r="B11" s="326" t="s">
        <v>151</v>
      </c>
      <c r="C11" s="326"/>
      <c r="D11" s="326"/>
      <c r="E11" s="326"/>
      <c r="F11" s="326"/>
      <c r="G11" s="326"/>
      <c r="H11" s="327"/>
    </row>
    <row r="12" spans="1:8" x14ac:dyDescent="0.25">
      <c r="A12" s="325" t="s">
        <v>4</v>
      </c>
      <c r="B12" s="326" t="s">
        <v>151</v>
      </c>
      <c r="C12" s="326"/>
      <c r="D12" s="326"/>
      <c r="E12" s="326"/>
      <c r="F12" s="326"/>
      <c r="G12" s="326"/>
      <c r="H12" s="327"/>
    </row>
    <row r="13" spans="1:8" x14ac:dyDescent="0.25">
      <c r="A13" s="325" t="s">
        <v>14</v>
      </c>
      <c r="B13" s="326" t="s">
        <v>42</v>
      </c>
      <c r="C13" s="326"/>
      <c r="D13" s="326"/>
      <c r="E13" s="326"/>
      <c r="F13" s="326"/>
      <c r="G13" s="326"/>
      <c r="H13" s="327"/>
    </row>
    <row r="14" spans="1:8" x14ac:dyDescent="0.25">
      <c r="A14" s="325" t="s">
        <v>60</v>
      </c>
      <c r="B14" s="328" t="s">
        <v>160</v>
      </c>
      <c r="C14" s="328"/>
      <c r="D14" s="328"/>
      <c r="E14" s="328"/>
      <c r="F14" s="328"/>
      <c r="G14" s="326"/>
      <c r="H14" s="327"/>
    </row>
    <row r="15" spans="1:8" x14ac:dyDescent="0.25">
      <c r="A15" s="325" t="s">
        <v>79</v>
      </c>
      <c r="B15" s="326" t="s">
        <v>175</v>
      </c>
      <c r="C15" s="326"/>
      <c r="D15" s="326"/>
      <c r="E15" s="328"/>
      <c r="F15" s="326"/>
      <c r="G15" s="326"/>
      <c r="H15" s="327"/>
    </row>
    <row r="16" spans="1:8" x14ac:dyDescent="0.25">
      <c r="A16" s="325" t="s">
        <v>11</v>
      </c>
      <c r="B16" s="326" t="s">
        <v>12</v>
      </c>
      <c r="C16" s="326"/>
      <c r="D16" s="326"/>
      <c r="E16" s="326"/>
      <c r="F16" s="326"/>
      <c r="G16" s="326"/>
      <c r="H16" s="327"/>
    </row>
    <row r="17" spans="1:8" x14ac:dyDescent="0.25">
      <c r="A17" s="317" t="s">
        <v>13</v>
      </c>
      <c r="B17" s="329" t="s">
        <v>12</v>
      </c>
      <c r="C17" s="329"/>
      <c r="D17" s="329"/>
      <c r="E17" s="329"/>
      <c r="F17" s="329"/>
      <c r="G17" s="329"/>
      <c r="H17" s="330"/>
    </row>
    <row r="18" spans="1:8" x14ac:dyDescent="0.25">
      <c r="A18" s="331"/>
      <c r="B18" s="331"/>
      <c r="C18" s="331"/>
      <c r="D18" s="331"/>
      <c r="E18" s="331"/>
      <c r="F18" s="331"/>
      <c r="G18" s="331"/>
      <c r="H18" s="331"/>
    </row>
    <row r="19" spans="1:8" x14ac:dyDescent="0.25">
      <c r="A19" s="331"/>
      <c r="B19" s="331"/>
      <c r="C19" s="331"/>
      <c r="D19" s="331"/>
      <c r="E19" s="331"/>
      <c r="F19" s="331"/>
      <c r="G19" s="331"/>
      <c r="H19" s="331"/>
    </row>
    <row r="20" spans="1:8" x14ac:dyDescent="0.25">
      <c r="A20" s="311" t="s">
        <v>16</v>
      </c>
      <c r="B20" s="321"/>
      <c r="C20" s="321"/>
      <c r="D20" s="321"/>
      <c r="E20" s="321"/>
      <c r="F20" s="322"/>
      <c r="G20" s="332"/>
      <c r="H20" s="332"/>
    </row>
    <row r="21" spans="1:8" x14ac:dyDescent="0.25">
      <c r="A21" s="333"/>
      <c r="B21" s="334" t="s">
        <v>32</v>
      </c>
      <c r="C21" s="335"/>
      <c r="D21" s="334" t="s">
        <v>19</v>
      </c>
      <c r="E21" s="335"/>
      <c r="F21" s="336" t="s">
        <v>33</v>
      </c>
      <c r="G21" s="332"/>
      <c r="H21" s="332"/>
    </row>
    <row r="22" spans="1:8" x14ac:dyDescent="0.25">
      <c r="A22" s="325" t="s">
        <v>31</v>
      </c>
      <c r="B22" s="326"/>
      <c r="C22" s="326"/>
      <c r="D22" s="326"/>
      <c r="E22" s="326"/>
      <c r="F22" s="327"/>
      <c r="G22" s="332"/>
      <c r="H22" s="332"/>
    </row>
    <row r="23" spans="1:8" x14ac:dyDescent="0.25">
      <c r="A23" s="337" t="s">
        <v>34</v>
      </c>
      <c r="B23" s="326">
        <v>10</v>
      </c>
      <c r="C23" s="326"/>
      <c r="D23" s="326">
        <v>1</v>
      </c>
      <c r="E23" s="326"/>
      <c r="F23" s="327">
        <v>2</v>
      </c>
      <c r="G23" s="332"/>
      <c r="H23" s="332"/>
    </row>
    <row r="24" spans="1:8" x14ac:dyDescent="0.25">
      <c r="A24" s="337">
        <v>2</v>
      </c>
      <c r="B24" s="326">
        <v>10</v>
      </c>
      <c r="C24" s="326"/>
      <c r="D24" s="326">
        <v>1</v>
      </c>
      <c r="E24" s="326"/>
      <c r="F24" s="327">
        <v>2</v>
      </c>
      <c r="G24" s="332"/>
      <c r="H24" s="332"/>
    </row>
    <row r="25" spans="1:8" x14ac:dyDescent="0.25">
      <c r="A25" s="338" t="s">
        <v>36</v>
      </c>
      <c r="B25" s="326">
        <v>10</v>
      </c>
      <c r="C25" s="326"/>
      <c r="D25" s="326">
        <v>1</v>
      </c>
      <c r="E25" s="326"/>
      <c r="F25" s="327">
        <v>2</v>
      </c>
      <c r="G25" s="332"/>
      <c r="H25" s="332"/>
    </row>
    <row r="26" spans="1:8" x14ac:dyDescent="0.25">
      <c r="A26" s="338" t="s">
        <v>37</v>
      </c>
      <c r="B26" s="326">
        <v>10</v>
      </c>
      <c r="C26" s="326"/>
      <c r="D26" s="326">
        <v>2</v>
      </c>
      <c r="E26" s="326"/>
      <c r="F26" s="327">
        <v>3</v>
      </c>
      <c r="G26" s="332"/>
      <c r="H26" s="332"/>
    </row>
    <row r="27" spans="1:8" x14ac:dyDescent="0.25">
      <c r="A27" s="339" t="s">
        <v>35</v>
      </c>
      <c r="B27" s="326">
        <v>10</v>
      </c>
      <c r="C27" s="326"/>
      <c r="D27" s="326">
        <v>2</v>
      </c>
      <c r="E27" s="326"/>
      <c r="F27" s="327">
        <v>4</v>
      </c>
      <c r="G27" s="332"/>
      <c r="H27" s="332"/>
    </row>
    <row r="28" spans="1:8" x14ac:dyDescent="0.25">
      <c r="A28" s="325" t="s">
        <v>38</v>
      </c>
      <c r="B28" s="326">
        <v>10</v>
      </c>
      <c r="C28" s="326"/>
      <c r="D28" s="326">
        <v>2</v>
      </c>
      <c r="E28" s="326"/>
      <c r="F28" s="327">
        <v>5</v>
      </c>
      <c r="G28" s="332"/>
      <c r="H28" s="332"/>
    </row>
    <row r="29" spans="1:8" x14ac:dyDescent="0.25">
      <c r="A29" s="340" t="s">
        <v>39</v>
      </c>
      <c r="B29" s="341">
        <v>10</v>
      </c>
      <c r="C29" s="341"/>
      <c r="D29" s="342">
        <v>2</v>
      </c>
      <c r="E29" s="341"/>
      <c r="F29" s="343">
        <v>6</v>
      </c>
      <c r="G29" s="332"/>
      <c r="H29" s="332"/>
    </row>
    <row r="30" spans="1:8" x14ac:dyDescent="0.25">
      <c r="A30" s="344" t="s">
        <v>40</v>
      </c>
      <c r="B30" s="345">
        <v>10</v>
      </c>
      <c r="C30" s="345"/>
      <c r="D30" s="346">
        <v>2</v>
      </c>
      <c r="E30" s="345"/>
      <c r="F30" s="347">
        <v>7</v>
      </c>
      <c r="G30" s="332"/>
      <c r="H30" s="332"/>
    </row>
    <row r="31" spans="1:8" x14ac:dyDescent="0.25">
      <c r="A31" s="341"/>
      <c r="B31" s="341"/>
      <c r="C31" s="341"/>
      <c r="D31" s="342"/>
      <c r="E31" s="341"/>
      <c r="F31" s="341"/>
      <c r="G31" s="341"/>
      <c r="H31" s="341"/>
    </row>
    <row r="32" spans="1:8" x14ac:dyDescent="0.25">
      <c r="A32" s="348"/>
      <c r="B32" s="348"/>
      <c r="C32" s="348"/>
      <c r="D32" s="349"/>
      <c r="E32" s="348"/>
      <c r="F32" s="348"/>
      <c r="G32" s="348"/>
      <c r="H32" s="348"/>
    </row>
    <row r="33" spans="1:8" x14ac:dyDescent="0.25">
      <c r="A33" s="350"/>
      <c r="B33" s="348"/>
      <c r="C33" s="348"/>
      <c r="D33" s="349"/>
      <c r="E33" s="348"/>
      <c r="F33" s="348"/>
      <c r="G33" s="348"/>
      <c r="H33" s="348"/>
    </row>
    <row r="34" spans="1:8" x14ac:dyDescent="0.25">
      <c r="A34" s="348"/>
      <c r="B34" s="348"/>
      <c r="C34" s="348"/>
      <c r="D34" s="349"/>
      <c r="E34" s="348"/>
      <c r="F34" s="348"/>
      <c r="G34" s="348"/>
      <c r="H34" s="348"/>
    </row>
    <row r="35" spans="1:8" x14ac:dyDescent="0.25">
      <c r="A35" s="351"/>
      <c r="B35" s="351"/>
      <c r="C35" s="351"/>
      <c r="D35" s="351"/>
      <c r="E35" s="351"/>
      <c r="F35" s="351"/>
      <c r="G35" s="351"/>
      <c r="H35" s="351"/>
    </row>
    <row r="36" spans="1:8" x14ac:dyDescent="0.25">
      <c r="A36" s="348"/>
      <c r="B36" s="348"/>
      <c r="C36" s="348"/>
      <c r="D36" s="348"/>
      <c r="E36" s="348"/>
      <c r="F36" s="352"/>
      <c r="G36" s="353"/>
      <c r="H36" s="354"/>
    </row>
    <row r="37" spans="1:8" x14ac:dyDescent="0.25">
      <c r="A37" s="198"/>
      <c r="B37" s="214"/>
      <c r="C37" s="214"/>
      <c r="D37" s="214"/>
      <c r="E37" s="214"/>
      <c r="F37" s="201"/>
      <c r="G37" s="201"/>
      <c r="H37" s="64"/>
    </row>
    <row r="38" spans="1:8" x14ac:dyDescent="0.25">
      <c r="A38" s="198"/>
      <c r="B38" s="214"/>
      <c r="C38" s="214"/>
      <c r="D38" s="214"/>
      <c r="E38" s="214"/>
      <c r="F38" s="201"/>
      <c r="G38" s="201"/>
      <c r="H38" s="64"/>
    </row>
    <row r="39" spans="1:8" x14ac:dyDescent="0.25">
      <c r="A39" s="198"/>
      <c r="B39" s="214"/>
      <c r="C39" s="214"/>
      <c r="D39" s="214"/>
      <c r="E39" s="214"/>
      <c r="F39" s="201"/>
      <c r="G39" s="201"/>
      <c r="H39" s="64"/>
    </row>
    <row r="40" spans="1:8" x14ac:dyDescent="0.25">
      <c r="A40" s="198"/>
      <c r="B40" s="214"/>
      <c r="C40" s="214"/>
      <c r="D40" s="214"/>
      <c r="E40" s="214"/>
      <c r="F40" s="201"/>
      <c r="G40" s="201"/>
      <c r="H40" s="64"/>
    </row>
    <row r="41" spans="1:8" x14ac:dyDescent="0.25">
      <c r="A41" s="64"/>
      <c r="B41" s="64"/>
      <c r="C41" s="64"/>
      <c r="D41" s="199"/>
      <c r="E41" s="198"/>
      <c r="F41" s="198"/>
      <c r="G41" s="198"/>
      <c r="H41" s="198"/>
    </row>
    <row r="42" spans="1:8" x14ac:dyDescent="0.25">
      <c r="A42" s="64"/>
      <c r="B42" s="64"/>
      <c r="C42" s="64"/>
      <c r="D42" s="199"/>
      <c r="E42" s="198"/>
      <c r="F42" s="198"/>
      <c r="G42" s="198"/>
      <c r="H42" s="198"/>
    </row>
    <row r="43" spans="1:8" x14ac:dyDescent="0.25">
      <c r="A43" s="64"/>
      <c r="B43" s="64"/>
      <c r="C43" s="64"/>
      <c r="D43" s="199"/>
      <c r="E43" s="198"/>
      <c r="F43" s="198"/>
      <c r="G43" s="198"/>
      <c r="H43" s="198"/>
    </row>
    <row r="44" spans="1:8" x14ac:dyDescent="0.25">
      <c r="A44" s="64"/>
      <c r="B44" s="64"/>
      <c r="C44" s="64"/>
      <c r="D44" s="64"/>
      <c r="E44" s="64"/>
      <c r="F44" s="64"/>
      <c r="G44" s="64"/>
      <c r="H44" s="64"/>
    </row>
    <row r="45" spans="1:8" x14ac:dyDescent="0.25">
      <c r="A45" s="64"/>
      <c r="B45" s="64"/>
      <c r="C45" s="64"/>
      <c r="D45" s="64"/>
      <c r="E45" s="64"/>
      <c r="F45" s="64"/>
      <c r="G45" s="64"/>
      <c r="H45" s="64"/>
    </row>
    <row r="46" spans="1:8" ht="15.75" x14ac:dyDescent="0.25">
      <c r="A46" s="215"/>
      <c r="B46" s="215"/>
      <c r="C46" s="215"/>
      <c r="D46" s="215"/>
      <c r="E46" s="215"/>
      <c r="F46" s="215"/>
      <c r="G46" s="215"/>
      <c r="H46" s="215"/>
    </row>
    <row r="47" spans="1:8" x14ac:dyDescent="0.25">
      <c r="A47" s="194"/>
      <c r="B47" s="194"/>
      <c r="C47" s="194"/>
      <c r="D47" s="194"/>
      <c r="E47" s="194"/>
      <c r="F47" s="194"/>
      <c r="G47" s="194"/>
      <c r="H47" s="194"/>
    </row>
    <row r="48" spans="1:8" x14ac:dyDescent="0.25">
      <c r="A48" s="216"/>
      <c r="B48" s="216"/>
      <c r="C48" s="216"/>
      <c r="D48" s="216"/>
      <c r="E48" s="216"/>
      <c r="F48" s="216"/>
      <c r="G48" s="216"/>
      <c r="H48" s="216"/>
    </row>
    <row r="49" spans="1:8" x14ac:dyDescent="0.25">
      <c r="A49" s="125"/>
      <c r="B49" s="125"/>
      <c r="C49" s="125"/>
      <c r="D49" s="125"/>
      <c r="E49" s="125"/>
      <c r="F49" s="202"/>
      <c r="G49" s="115"/>
      <c r="H49" s="115"/>
    </row>
    <row r="50" spans="1:8" x14ac:dyDescent="0.25">
      <c r="A50" s="125"/>
      <c r="B50" s="125"/>
      <c r="C50" s="125"/>
      <c r="D50" s="125"/>
      <c r="E50" s="125"/>
      <c r="F50" s="202"/>
      <c r="G50" s="114"/>
      <c r="H50" s="114"/>
    </row>
    <row r="51" spans="1:8" x14ac:dyDescent="0.25">
      <c r="A51" s="125"/>
      <c r="B51" s="125"/>
      <c r="C51" s="115"/>
      <c r="D51" s="115"/>
      <c r="E51" s="115"/>
      <c r="F51" s="203"/>
      <c r="G51" s="115"/>
      <c r="H51" s="115"/>
    </row>
    <row r="52" spans="1:8" x14ac:dyDescent="0.25">
      <c r="A52" s="189"/>
      <c r="B52" s="124"/>
      <c r="C52" s="117"/>
      <c r="D52" s="117"/>
      <c r="E52" s="117"/>
      <c r="F52" s="204"/>
      <c r="G52" s="117"/>
      <c r="H52" s="117"/>
    </row>
    <row r="53" spans="1:8" x14ac:dyDescent="0.25">
      <c r="A53" s="124"/>
      <c r="B53" s="124"/>
      <c r="C53" s="117"/>
      <c r="D53" s="117"/>
      <c r="E53" s="117"/>
      <c r="F53" s="204"/>
      <c r="G53" s="117"/>
      <c r="H53" s="156"/>
    </row>
    <row r="54" spans="1:8" x14ac:dyDescent="0.25">
      <c r="A54" s="189"/>
      <c r="B54" s="124"/>
      <c r="C54" s="125"/>
      <c r="D54" s="112"/>
      <c r="E54" s="189"/>
      <c r="F54" s="112"/>
      <c r="G54" s="125"/>
      <c r="H54" s="125"/>
    </row>
    <row r="55" spans="1:8" x14ac:dyDescent="0.25">
      <c r="A55" s="125"/>
      <c r="B55" s="124"/>
      <c r="C55" s="125"/>
      <c r="D55" s="124"/>
      <c r="E55" s="124"/>
      <c r="F55" s="124"/>
      <c r="G55" s="125"/>
      <c r="H55" s="125"/>
    </row>
    <row r="56" spans="1:8" x14ac:dyDescent="0.25">
      <c r="A56" s="125"/>
      <c r="B56" s="124"/>
      <c r="C56" s="125"/>
      <c r="D56" s="156"/>
      <c r="E56" s="124"/>
      <c r="F56" s="156"/>
      <c r="G56" s="125"/>
      <c r="H56" s="125"/>
    </row>
    <row r="57" spans="1:8" x14ac:dyDescent="0.25">
      <c r="A57" s="124"/>
      <c r="B57" s="124"/>
      <c r="C57" s="125"/>
      <c r="D57" s="117"/>
      <c r="E57" s="124"/>
      <c r="F57" s="124"/>
      <c r="G57" s="125"/>
      <c r="H57" s="125"/>
    </row>
    <row r="58" spans="1:8" x14ac:dyDescent="0.25">
      <c r="A58" s="124"/>
      <c r="B58" s="124"/>
      <c r="C58" s="125"/>
      <c r="D58" s="156"/>
      <c r="E58" s="124"/>
      <c r="F58" s="124"/>
      <c r="G58" s="125"/>
      <c r="H58" s="125"/>
    </row>
    <row r="59" spans="1:8" x14ac:dyDescent="0.25">
      <c r="A59" s="125"/>
      <c r="B59" s="125"/>
      <c r="C59" s="125"/>
      <c r="D59" s="159"/>
      <c r="E59" s="125"/>
      <c r="F59" s="125"/>
      <c r="G59" s="125"/>
      <c r="H59" s="125"/>
    </row>
    <row r="60" spans="1:8" x14ac:dyDescent="0.25">
      <c r="A60" s="189"/>
      <c r="B60" s="125"/>
      <c r="C60" s="125"/>
      <c r="D60" s="112"/>
      <c r="E60" s="189"/>
      <c r="F60" s="112"/>
      <c r="G60" s="125"/>
      <c r="H60" s="125"/>
    </row>
    <row r="61" spans="1:8" x14ac:dyDescent="0.25">
      <c r="A61" s="124"/>
      <c r="B61" s="124"/>
      <c r="C61" s="125"/>
      <c r="D61" s="156"/>
      <c r="E61" s="124"/>
      <c r="F61" s="156"/>
      <c r="G61" s="125"/>
      <c r="H61" s="125"/>
    </row>
    <row r="62" spans="1:8" x14ac:dyDescent="0.25">
      <c r="A62" s="124"/>
      <c r="B62" s="124"/>
      <c r="C62" s="125"/>
      <c r="D62" s="156"/>
      <c r="E62" s="124"/>
      <c r="F62" s="156"/>
      <c r="G62" s="125"/>
      <c r="H62" s="125"/>
    </row>
    <row r="63" spans="1:8" x14ac:dyDescent="0.25">
      <c r="A63" s="124"/>
      <c r="B63" s="124"/>
      <c r="C63" s="125"/>
      <c r="D63" s="156"/>
      <c r="E63" s="124"/>
      <c r="F63" s="124"/>
      <c r="G63" s="125"/>
      <c r="H63" s="125"/>
    </row>
    <row r="64" spans="1:8" x14ac:dyDescent="0.25">
      <c r="A64" s="124"/>
      <c r="B64" s="124"/>
      <c r="C64" s="125"/>
      <c r="D64" s="156"/>
      <c r="E64" s="124"/>
      <c r="F64" s="124"/>
      <c r="G64" s="125"/>
      <c r="H64" s="125"/>
    </row>
    <row r="65" spans="1:8" x14ac:dyDescent="0.25">
      <c r="A65" s="125"/>
      <c r="B65" s="125"/>
      <c r="C65" s="125"/>
      <c r="D65" s="159"/>
      <c r="E65" s="125"/>
      <c r="F65" s="125"/>
      <c r="G65" s="125"/>
      <c r="H65" s="125"/>
    </row>
    <row r="66" spans="1:8" x14ac:dyDescent="0.25">
      <c r="A66" s="189"/>
      <c r="B66" s="125"/>
      <c r="C66" s="125"/>
      <c r="D66" s="112"/>
      <c r="E66" s="189"/>
      <c r="F66" s="112"/>
      <c r="G66" s="125"/>
      <c r="H66" s="125"/>
    </row>
    <row r="67" spans="1:8" x14ac:dyDescent="0.25">
      <c r="A67" s="124"/>
      <c r="B67" s="124"/>
      <c r="C67" s="125"/>
      <c r="D67" s="156"/>
      <c r="E67" s="124"/>
      <c r="F67" s="156"/>
      <c r="G67" s="125"/>
      <c r="H67" s="125"/>
    </row>
    <row r="68" spans="1:8" x14ac:dyDescent="0.25">
      <c r="A68" s="124"/>
      <c r="B68" s="124"/>
      <c r="C68" s="125"/>
      <c r="D68" s="156"/>
      <c r="E68" s="124"/>
      <c r="F68" s="156"/>
      <c r="G68" s="124"/>
      <c r="H68" s="125"/>
    </row>
    <row r="69" spans="1:8" x14ac:dyDescent="0.25">
      <c r="A69" s="124"/>
      <c r="B69" s="124"/>
      <c r="C69" s="125"/>
      <c r="D69" s="156"/>
      <c r="E69" s="124"/>
      <c r="F69" s="124"/>
      <c r="G69" s="125"/>
      <c r="H69" s="125"/>
    </row>
    <row r="70" spans="1:8" x14ac:dyDescent="0.25">
      <c r="A70" s="124"/>
      <c r="B70" s="124"/>
      <c r="C70" s="125"/>
      <c r="D70" s="156"/>
      <c r="E70" s="124"/>
      <c r="F70" s="124"/>
      <c r="G70" s="125"/>
      <c r="H70" s="125"/>
    </row>
    <row r="71" spans="1:8" x14ac:dyDescent="0.25">
      <c r="A71" s="125"/>
      <c r="B71" s="125"/>
      <c r="C71" s="125"/>
      <c r="D71" s="159"/>
      <c r="E71" s="125"/>
      <c r="F71" s="125"/>
      <c r="G71" s="125"/>
      <c r="H71" s="125"/>
    </row>
    <row r="72" spans="1:8" x14ac:dyDescent="0.25">
      <c r="A72" s="189"/>
      <c r="B72" s="125"/>
      <c r="C72" s="125"/>
      <c r="D72" s="112"/>
      <c r="E72" s="189"/>
      <c r="F72" s="112"/>
      <c r="G72" s="125"/>
      <c r="H72" s="125"/>
    </row>
    <row r="73" spans="1:8" x14ac:dyDescent="0.25">
      <c r="A73" s="124"/>
      <c r="B73" s="124"/>
      <c r="C73" s="125"/>
      <c r="D73" s="160"/>
      <c r="E73" s="124"/>
      <c r="F73" s="156"/>
      <c r="G73" s="125"/>
      <c r="H73" s="125"/>
    </row>
    <row r="74" spans="1:8" x14ac:dyDescent="0.25">
      <c r="A74" s="124"/>
      <c r="B74" s="124"/>
      <c r="C74" s="125"/>
      <c r="D74" s="160"/>
      <c r="E74" s="124"/>
      <c r="F74" s="156"/>
      <c r="G74" s="124"/>
      <c r="H74" s="125"/>
    </row>
    <row r="75" spans="1:8" x14ac:dyDescent="0.25">
      <c r="A75" s="124"/>
      <c r="B75" s="124"/>
      <c r="C75" s="125"/>
      <c r="D75" s="160"/>
      <c r="E75" s="124"/>
      <c r="F75" s="124"/>
      <c r="G75" s="125"/>
      <c r="H75" s="125"/>
    </row>
    <row r="76" spans="1:8" x14ac:dyDescent="0.25">
      <c r="A76" s="124"/>
      <c r="B76" s="124"/>
      <c r="C76" s="125"/>
      <c r="D76" s="160"/>
      <c r="E76" s="124"/>
      <c r="F76" s="124"/>
      <c r="G76" s="125"/>
      <c r="H76" s="125"/>
    </row>
    <row r="77" spans="1:8" x14ac:dyDescent="0.25">
      <c r="A77" s="125"/>
      <c r="B77" s="125"/>
      <c r="C77" s="125"/>
      <c r="D77" s="161"/>
      <c r="E77" s="125"/>
      <c r="F77" s="125"/>
      <c r="G77" s="125"/>
      <c r="H77" s="125"/>
    </row>
    <row r="78" spans="1:8" x14ac:dyDescent="0.25">
      <c r="A78" s="189"/>
      <c r="B78" s="124"/>
      <c r="C78" s="124"/>
      <c r="D78" s="112"/>
      <c r="E78" s="189"/>
      <c r="F78" s="112"/>
      <c r="G78" s="125"/>
      <c r="H78" s="125"/>
    </row>
    <row r="79" spans="1:8" x14ac:dyDescent="0.25">
      <c r="A79" s="125"/>
      <c r="B79" s="124"/>
      <c r="C79" s="124"/>
      <c r="D79" s="156"/>
      <c r="E79" s="124"/>
      <c r="F79" s="156"/>
      <c r="G79" s="125"/>
      <c r="H79" s="125"/>
    </row>
    <row r="80" spans="1:8" x14ac:dyDescent="0.25">
      <c r="A80" s="125"/>
      <c r="B80" s="124"/>
      <c r="C80" s="124"/>
      <c r="D80" s="156"/>
      <c r="E80" s="124"/>
      <c r="F80" s="156"/>
      <c r="G80" s="125"/>
      <c r="H80" s="125"/>
    </row>
    <row r="81" spans="1:8" ht="15" customHeight="1" x14ac:dyDescent="0.25">
      <c r="A81" s="124"/>
      <c r="B81" s="124"/>
      <c r="C81" s="125"/>
      <c r="D81" s="156"/>
      <c r="E81" s="124"/>
      <c r="F81" s="124"/>
      <c r="G81" s="125"/>
      <c r="H81" s="125"/>
    </row>
    <row r="82" spans="1:8" x14ac:dyDescent="0.25">
      <c r="A82" s="124"/>
      <c r="B82" s="124"/>
      <c r="C82" s="125"/>
      <c r="D82" s="156"/>
      <c r="E82" s="124"/>
      <c r="F82" s="124"/>
      <c r="G82" s="125"/>
      <c r="H82" s="125"/>
    </row>
    <row r="83" spans="1:8" x14ac:dyDescent="0.25">
      <c r="A83" s="125"/>
      <c r="B83" s="125"/>
      <c r="C83" s="125"/>
      <c r="D83" s="159"/>
      <c r="E83" s="125"/>
      <c r="F83" s="202"/>
      <c r="G83" s="125"/>
      <c r="H83" s="125"/>
    </row>
    <row r="84" spans="1:8" ht="32.25" customHeight="1" x14ac:dyDescent="0.25">
      <c r="A84" s="217"/>
      <c r="B84" s="217"/>
      <c r="C84" s="217"/>
      <c r="D84" s="217"/>
      <c r="E84" s="217"/>
      <c r="F84" s="217"/>
      <c r="G84" s="217"/>
      <c r="H84" s="217"/>
    </row>
    <row r="85" spans="1:8" x14ac:dyDescent="0.25">
      <c r="A85" s="205"/>
      <c r="B85" s="198"/>
      <c r="C85" s="198"/>
      <c r="D85" s="200"/>
      <c r="E85" s="205"/>
      <c r="F85" s="206"/>
      <c r="G85" s="198"/>
      <c r="H85" s="207"/>
    </row>
    <row r="86" spans="1:8" x14ac:dyDescent="0.25">
      <c r="A86" s="198"/>
      <c r="B86" s="198"/>
      <c r="C86" s="198"/>
      <c r="D86" s="198"/>
      <c r="E86" s="198"/>
      <c r="F86" s="208"/>
      <c r="G86" s="198"/>
      <c r="H86" s="209"/>
    </row>
    <row r="87" spans="1:8" x14ac:dyDescent="0.25">
      <c r="A87" s="198"/>
      <c r="B87" s="198"/>
      <c r="C87" s="198"/>
      <c r="D87" s="199"/>
      <c r="E87" s="198"/>
      <c r="F87" s="210"/>
      <c r="G87" s="198"/>
      <c r="H87" s="209"/>
    </row>
    <row r="88" spans="1:8" x14ac:dyDescent="0.25">
      <c r="A88" s="198"/>
      <c r="B88" s="198"/>
      <c r="C88" s="198"/>
      <c r="D88" s="211"/>
      <c r="E88" s="198"/>
      <c r="F88" s="208"/>
      <c r="G88" s="198"/>
      <c r="H88" s="209"/>
    </row>
    <row r="89" spans="1:8" x14ac:dyDescent="0.25">
      <c r="A89" s="198"/>
      <c r="B89" s="198"/>
      <c r="C89" s="198"/>
      <c r="D89" s="199"/>
      <c r="E89" s="198"/>
      <c r="F89" s="212"/>
      <c r="G89" s="198"/>
      <c r="H89" s="211"/>
    </row>
    <row r="90" spans="1:8" x14ac:dyDescent="0.25">
      <c r="A90" s="198"/>
      <c r="B90" s="198"/>
      <c r="C90" s="198"/>
      <c r="D90" s="199"/>
      <c r="E90" s="198"/>
      <c r="F90" s="198"/>
      <c r="G90" s="198"/>
      <c r="H90" s="199"/>
    </row>
    <row r="91" spans="1:8" x14ac:dyDescent="0.25">
      <c r="A91" s="205"/>
      <c r="B91" s="198"/>
      <c r="C91" s="198"/>
      <c r="D91" s="200"/>
      <c r="E91" s="205"/>
      <c r="F91" s="206"/>
      <c r="G91" s="198"/>
      <c r="H91" s="198"/>
    </row>
    <row r="92" spans="1:8" x14ac:dyDescent="0.25">
      <c r="A92" s="198"/>
      <c r="B92" s="198"/>
      <c r="C92" s="198"/>
      <c r="D92" s="199"/>
      <c r="E92" s="198"/>
      <c r="F92" s="210"/>
      <c r="G92" s="198"/>
      <c r="H92" s="198"/>
    </row>
    <row r="93" spans="1:8" x14ac:dyDescent="0.25">
      <c r="A93" s="198"/>
      <c r="B93" s="198"/>
      <c r="C93" s="198"/>
      <c r="D93" s="199"/>
      <c r="E93" s="198"/>
      <c r="F93" s="210"/>
      <c r="G93" s="198"/>
      <c r="H93" s="198"/>
    </row>
    <row r="94" spans="1:8" x14ac:dyDescent="0.25">
      <c r="A94" s="198"/>
      <c r="B94" s="198"/>
      <c r="C94" s="198"/>
      <c r="D94" s="199"/>
      <c r="E94" s="198"/>
      <c r="F94" s="208"/>
      <c r="G94" s="198"/>
      <c r="H94" s="198"/>
    </row>
    <row r="95" spans="1:8" x14ac:dyDescent="0.25">
      <c r="A95" s="198"/>
      <c r="B95" s="198"/>
      <c r="C95" s="198"/>
      <c r="D95" s="199"/>
      <c r="E95" s="198"/>
      <c r="F95" s="208"/>
      <c r="G95" s="64"/>
      <c r="H95" s="198"/>
    </row>
    <row r="96" spans="1:8" x14ac:dyDescent="0.25">
      <c r="A96" s="198"/>
      <c r="B96" s="198"/>
      <c r="C96" s="198"/>
      <c r="D96" s="199"/>
      <c r="E96" s="198"/>
      <c r="F96" s="208"/>
      <c r="G96" s="64"/>
      <c r="H96" s="198"/>
    </row>
    <row r="97" spans="1:8" x14ac:dyDescent="0.25">
      <c r="A97" s="205"/>
      <c r="B97" s="198"/>
      <c r="C97" s="198"/>
      <c r="D97" s="200"/>
      <c r="E97" s="205"/>
      <c r="F97" s="206"/>
      <c r="G97" s="64"/>
      <c r="H97" s="198"/>
    </row>
    <row r="98" spans="1:8" x14ac:dyDescent="0.25">
      <c r="A98" s="198"/>
      <c r="B98" s="198"/>
      <c r="C98" s="198"/>
      <c r="D98" s="199"/>
      <c r="E98" s="198"/>
      <c r="F98" s="210"/>
      <c r="G98" s="64"/>
      <c r="H98" s="198"/>
    </row>
    <row r="99" spans="1:8" x14ac:dyDescent="0.25">
      <c r="A99" s="198"/>
      <c r="B99" s="198"/>
      <c r="C99" s="198"/>
      <c r="D99" s="199"/>
      <c r="E99" s="198"/>
      <c r="F99" s="210"/>
      <c r="G99" s="64"/>
      <c r="H99" s="198"/>
    </row>
    <row r="100" spans="1:8" x14ac:dyDescent="0.25">
      <c r="A100" s="198"/>
      <c r="B100" s="198"/>
      <c r="C100" s="198"/>
      <c r="D100" s="199"/>
      <c r="E100" s="198"/>
      <c r="F100" s="208"/>
      <c r="G100" s="64"/>
      <c r="H100" s="198"/>
    </row>
    <row r="101" spans="1:8" x14ac:dyDescent="0.25">
      <c r="A101" s="198"/>
      <c r="B101" s="198"/>
      <c r="C101" s="198"/>
      <c r="D101" s="199"/>
      <c r="E101" s="198"/>
      <c r="F101" s="208"/>
      <c r="G101" s="64"/>
      <c r="H101" s="64"/>
    </row>
    <row r="102" spans="1:8" x14ac:dyDescent="0.25">
      <c r="A102" s="198"/>
      <c r="B102" s="198"/>
      <c r="C102" s="198"/>
      <c r="D102" s="199"/>
      <c r="E102" s="198"/>
      <c r="F102" s="208"/>
      <c r="G102" s="64"/>
      <c r="H102" s="64"/>
    </row>
    <row r="103" spans="1:8" x14ac:dyDescent="0.25">
      <c r="A103" s="205"/>
      <c r="B103" s="198"/>
      <c r="C103" s="198"/>
      <c r="D103" s="200"/>
      <c r="E103" s="205"/>
      <c r="F103" s="206"/>
      <c r="G103" s="64"/>
      <c r="H103" s="64"/>
    </row>
    <row r="104" spans="1:8" x14ac:dyDescent="0.25">
      <c r="A104" s="198"/>
      <c r="B104" s="198"/>
      <c r="C104" s="198"/>
      <c r="D104" s="213"/>
      <c r="E104" s="198"/>
      <c r="F104" s="210"/>
      <c r="G104" s="64"/>
      <c r="H104" s="64"/>
    </row>
    <row r="105" spans="1:8" x14ac:dyDescent="0.25">
      <c r="A105" s="1"/>
      <c r="B105" s="1"/>
      <c r="C105" s="1"/>
      <c r="D105" s="9"/>
      <c r="E105" s="1"/>
      <c r="F105" s="5"/>
    </row>
    <row r="106" spans="1:8" x14ac:dyDescent="0.25">
      <c r="A106" s="1"/>
      <c r="B106" s="1"/>
      <c r="C106" s="1"/>
      <c r="D106" s="9"/>
      <c r="E106" s="1"/>
      <c r="F106" s="6"/>
    </row>
    <row r="107" spans="1:8" x14ac:dyDescent="0.25">
      <c r="A107" s="1"/>
      <c r="B107" s="1"/>
      <c r="C107" s="1"/>
      <c r="D107" s="9"/>
      <c r="E107" s="1"/>
      <c r="F107" s="6"/>
    </row>
    <row r="108" spans="1:8" x14ac:dyDescent="0.25">
      <c r="A108" s="1"/>
      <c r="B108" s="1"/>
      <c r="C108" s="1"/>
      <c r="D108" s="9"/>
      <c r="E108" s="1"/>
      <c r="F108" s="6"/>
    </row>
    <row r="109" spans="1:8" x14ac:dyDescent="0.25">
      <c r="A109" s="3"/>
      <c r="B109" s="1"/>
      <c r="C109" s="1"/>
      <c r="D109" s="7"/>
      <c r="E109" s="3"/>
      <c r="F109" s="8"/>
    </row>
    <row r="110" spans="1:8" x14ac:dyDescent="0.25">
      <c r="A110" s="1"/>
      <c r="B110" s="1"/>
      <c r="C110" s="1"/>
      <c r="D110" s="2"/>
      <c r="E110" s="1"/>
      <c r="F110" s="5"/>
    </row>
    <row r="111" spans="1:8" x14ac:dyDescent="0.25">
      <c r="A111" s="1"/>
      <c r="B111" s="1"/>
      <c r="C111" s="1"/>
      <c r="D111" s="2"/>
      <c r="E111" s="1"/>
      <c r="F111" s="5"/>
      <c r="G111" s="1"/>
    </row>
    <row r="112" spans="1:8" x14ac:dyDescent="0.25">
      <c r="A112" s="1"/>
      <c r="B112" s="1"/>
      <c r="C112" s="1"/>
      <c r="D112" s="2"/>
      <c r="E112" s="1"/>
      <c r="F112" s="6"/>
      <c r="G112" s="1"/>
    </row>
    <row r="113" spans="1:8" x14ac:dyDescent="0.25">
      <c r="A113" s="1"/>
      <c r="B113" s="1"/>
      <c r="C113" s="1"/>
      <c r="D113" s="2"/>
      <c r="E113" s="1"/>
      <c r="F113" s="4"/>
      <c r="G113" s="1"/>
    </row>
    <row r="114" spans="1:8" x14ac:dyDescent="0.25">
      <c r="A114" s="1"/>
      <c r="B114" s="1"/>
      <c r="C114" s="1"/>
      <c r="D114" s="2"/>
      <c r="E114" s="1"/>
      <c r="F114" s="4"/>
      <c r="G114" s="1"/>
    </row>
    <row r="115" spans="1:8" x14ac:dyDescent="0.25">
      <c r="A115" s="11"/>
    </row>
    <row r="116" spans="1:8" x14ac:dyDescent="0.25">
      <c r="A116" s="11"/>
    </row>
    <row r="117" spans="1:8" x14ac:dyDescent="0.25">
      <c r="A117" s="11"/>
      <c r="H117" s="1"/>
    </row>
    <row r="118" spans="1:8" x14ac:dyDescent="0.25">
      <c r="A118" s="11"/>
      <c r="H118" s="1"/>
    </row>
    <row r="119" spans="1:8" x14ac:dyDescent="0.25">
      <c r="A119" s="11"/>
      <c r="H119" s="1"/>
    </row>
    <row r="120" spans="1:8" x14ac:dyDescent="0.25">
      <c r="A120" s="11"/>
      <c r="H120" s="1"/>
    </row>
    <row r="121" spans="1:8" x14ac:dyDescent="0.25">
      <c r="A121" s="11"/>
      <c r="B121" s="11"/>
      <c r="C121" s="11"/>
      <c r="D121" s="11"/>
      <c r="E121" s="11"/>
      <c r="F121" s="11"/>
      <c r="G121" s="11"/>
    </row>
    <row r="122" spans="1:8" x14ac:dyDescent="0.25">
      <c r="A122" s="11"/>
      <c r="B122" s="11"/>
      <c r="C122" s="11"/>
      <c r="D122" s="11"/>
      <c r="E122" s="11"/>
      <c r="F122" s="11"/>
      <c r="G122" s="11"/>
    </row>
    <row r="123" spans="1:8" x14ac:dyDescent="0.25">
      <c r="A123" s="11"/>
      <c r="B123" s="11"/>
      <c r="C123" s="11"/>
      <c r="D123" s="11"/>
      <c r="E123" s="11"/>
      <c r="F123" s="11"/>
      <c r="G123" s="11"/>
    </row>
    <row r="124" spans="1:8" x14ac:dyDescent="0.25">
      <c r="A124" s="11"/>
      <c r="B124" s="11"/>
      <c r="C124" s="11"/>
      <c r="D124" s="11"/>
      <c r="E124" s="11"/>
      <c r="F124" s="11"/>
      <c r="G124" s="11"/>
    </row>
    <row r="125" spans="1:8" x14ac:dyDescent="0.25">
      <c r="A125" s="11"/>
      <c r="B125" s="11"/>
      <c r="C125" s="11"/>
      <c r="D125" s="11"/>
      <c r="E125" s="11"/>
      <c r="F125" s="11"/>
      <c r="G125" s="11"/>
    </row>
    <row r="126" spans="1:8" x14ac:dyDescent="0.25">
      <c r="A126" s="11"/>
      <c r="B126" s="11"/>
      <c r="C126" s="11"/>
      <c r="D126" s="11"/>
      <c r="E126" s="11"/>
      <c r="F126" s="11"/>
      <c r="G126" s="11"/>
    </row>
    <row r="127" spans="1:8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x14ac:dyDescent="0.25">
      <c r="A142" s="11"/>
      <c r="B142" s="11"/>
      <c r="C142" s="11"/>
      <c r="D142" s="11"/>
      <c r="E142" s="11"/>
      <c r="F142" s="11"/>
      <c r="G142" s="11"/>
      <c r="H142" s="11"/>
    </row>
    <row r="143" spans="1:8" x14ac:dyDescent="0.25">
      <c r="A143" s="11"/>
      <c r="B143" s="11"/>
      <c r="C143" s="11"/>
      <c r="D143" s="11"/>
      <c r="E143" s="11"/>
      <c r="F143" s="11"/>
      <c r="G143" s="11"/>
      <c r="H143" s="11"/>
    </row>
    <row r="144" spans="1:8" x14ac:dyDescent="0.25">
      <c r="A144" s="11"/>
      <c r="B144" s="11"/>
      <c r="C144" s="11"/>
      <c r="D144" s="11"/>
      <c r="E144" s="11"/>
      <c r="F144" s="11"/>
      <c r="G144" s="11"/>
      <c r="H144" s="11"/>
    </row>
    <row r="145" spans="1:8" x14ac:dyDescent="0.25">
      <c r="A145" s="11"/>
      <c r="B145" s="11"/>
      <c r="C145" s="11"/>
      <c r="D145" s="11"/>
      <c r="E145" s="11"/>
      <c r="F145" s="11"/>
      <c r="G145" s="11"/>
      <c r="H145" s="11"/>
    </row>
    <row r="146" spans="1:8" x14ac:dyDescent="0.25">
      <c r="A146" s="11"/>
      <c r="B146" s="11"/>
      <c r="C146" s="11"/>
      <c r="D146" s="11"/>
      <c r="E146" s="11"/>
      <c r="F146" s="11"/>
      <c r="G146" s="11"/>
      <c r="H146" s="11"/>
    </row>
    <row r="147" spans="1:8" x14ac:dyDescent="0.25">
      <c r="A147" s="11"/>
      <c r="B147" s="11"/>
      <c r="C147" s="11"/>
      <c r="D147" s="11"/>
      <c r="E147" s="11"/>
      <c r="F147" s="11"/>
      <c r="G147" s="11"/>
      <c r="H147" s="11"/>
    </row>
    <row r="148" spans="1:8" x14ac:dyDescent="0.25">
      <c r="A148" s="11"/>
      <c r="B148" s="11"/>
      <c r="C148" s="11"/>
      <c r="D148" s="11"/>
      <c r="E148" s="11"/>
      <c r="F148" s="11"/>
      <c r="G148" s="11"/>
      <c r="H148" s="11"/>
    </row>
    <row r="149" spans="1:8" x14ac:dyDescent="0.25">
      <c r="A149" s="11"/>
      <c r="B149" s="11"/>
      <c r="C149" s="11"/>
      <c r="D149" s="11"/>
      <c r="E149" s="11"/>
      <c r="F149" s="11"/>
      <c r="G149" s="11"/>
      <c r="H149" s="11"/>
    </row>
    <row r="150" spans="1:8" x14ac:dyDescent="0.25">
      <c r="H150" s="11"/>
    </row>
    <row r="151" spans="1:8" x14ac:dyDescent="0.25">
      <c r="H151" s="11"/>
    </row>
    <row r="152" spans="1:8" x14ac:dyDescent="0.25">
      <c r="H152" s="11"/>
    </row>
    <row r="153" spans="1:8" x14ac:dyDescent="0.25">
      <c r="H153" s="11"/>
    </row>
    <row r="154" spans="1:8" x14ac:dyDescent="0.25">
      <c r="H154" s="11"/>
    </row>
    <row r="155" spans="1:8" x14ac:dyDescent="0.25">
      <c r="H155" s="11"/>
    </row>
  </sheetData>
  <mergeCells count="5">
    <mergeCell ref="A1:H1"/>
    <mergeCell ref="A2:H2"/>
    <mergeCell ref="A3:H3"/>
    <mergeCell ref="A4:H4"/>
    <mergeCell ref="B5:E5"/>
  </mergeCells>
  <phoneticPr fontId="11" type="noConversion"/>
  <pageMargins left="1.06" right="0.7" top="0.96" bottom="0.5" header="0.3" footer="0.3"/>
  <pageSetup orientation="portrait" r:id="rId1"/>
  <headerFooter>
    <oddHeader>&amp;R&amp;D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02"/>
  <sheetViews>
    <sheetView workbookViewId="0">
      <selection activeCell="L11" sqref="L11"/>
    </sheetView>
  </sheetViews>
  <sheetFormatPr defaultRowHeight="15" x14ac:dyDescent="0.25"/>
  <cols>
    <col min="1" max="1" width="18.5703125" bestFit="1" customWidth="1"/>
    <col min="8" max="8" width="12.42578125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9" ht="18.75" x14ac:dyDescent="0.3">
      <c r="A3" s="1005" t="s">
        <v>86</v>
      </c>
      <c r="B3" s="1005"/>
      <c r="C3" s="1005"/>
      <c r="D3" s="1005"/>
      <c r="E3" s="1005"/>
      <c r="F3" s="1005"/>
      <c r="G3" s="1005"/>
      <c r="H3" s="1005"/>
    </row>
    <row r="4" spans="1:9" ht="18.75" x14ac:dyDescent="0.3">
      <c r="A4" s="43"/>
      <c r="B4" s="43"/>
      <c r="C4" s="43"/>
      <c r="D4" s="43"/>
      <c r="E4" s="43"/>
      <c r="F4" s="43"/>
      <c r="G4" s="43"/>
      <c r="H4" s="43"/>
    </row>
    <row r="5" spans="1:9" x14ac:dyDescent="0.25">
      <c r="A5" s="311" t="s">
        <v>174</v>
      </c>
      <c r="B5" s="1007" t="s">
        <v>54</v>
      </c>
      <c r="C5" s="1007"/>
      <c r="D5" s="1007"/>
      <c r="E5" s="1008"/>
      <c r="F5" s="355"/>
      <c r="G5" s="355"/>
      <c r="H5" s="355"/>
      <c r="I5" s="332"/>
    </row>
    <row r="6" spans="1:9" x14ac:dyDescent="0.25">
      <c r="A6" s="325" t="s">
        <v>164</v>
      </c>
      <c r="B6" s="334">
        <v>0</v>
      </c>
      <c r="C6" s="334">
        <v>1</v>
      </c>
      <c r="D6" s="356" t="s">
        <v>52</v>
      </c>
      <c r="E6" s="336" t="s">
        <v>53</v>
      </c>
      <c r="F6" s="355"/>
      <c r="G6" s="355"/>
      <c r="H6" s="355"/>
      <c r="I6" s="332"/>
    </row>
    <row r="7" spans="1:9" x14ac:dyDescent="0.25">
      <c r="A7" s="357" t="s">
        <v>55</v>
      </c>
      <c r="B7" s="358">
        <v>11.45</v>
      </c>
      <c r="C7" s="358">
        <v>11.95</v>
      </c>
      <c r="D7" s="358">
        <v>12.45</v>
      </c>
      <c r="E7" s="359">
        <v>12.55</v>
      </c>
      <c r="F7" s="355"/>
      <c r="G7" s="355"/>
      <c r="H7" s="355"/>
      <c r="I7" s="332"/>
    </row>
    <row r="8" spans="1:9" x14ac:dyDescent="0.25">
      <c r="A8" s="357" t="s">
        <v>56</v>
      </c>
      <c r="B8" s="358">
        <v>10.85</v>
      </c>
      <c r="C8" s="358">
        <v>11.35</v>
      </c>
      <c r="D8" s="358">
        <v>11.85</v>
      </c>
      <c r="E8" s="359">
        <v>11.95</v>
      </c>
      <c r="F8" s="355"/>
      <c r="G8" s="355"/>
      <c r="H8" s="355"/>
      <c r="I8" s="332"/>
    </row>
    <row r="9" spans="1:9" ht="18.75" customHeight="1" x14ac:dyDescent="0.25">
      <c r="A9" s="317" t="s">
        <v>57</v>
      </c>
      <c r="B9" s="360">
        <v>11.25</v>
      </c>
      <c r="C9" s="360">
        <v>11.75</v>
      </c>
      <c r="D9" s="360">
        <v>12.25</v>
      </c>
      <c r="E9" s="361">
        <v>12.35</v>
      </c>
      <c r="F9" s="1009" t="s">
        <v>111</v>
      </c>
      <c r="G9" s="1010"/>
      <c r="H9" s="1010"/>
      <c r="I9" s="332"/>
    </row>
    <row r="10" spans="1:9" x14ac:dyDescent="0.25">
      <c r="A10" s="355"/>
      <c r="B10" s="355"/>
      <c r="C10" s="355"/>
      <c r="D10" s="355"/>
      <c r="E10" s="355"/>
      <c r="F10" s="355"/>
      <c r="G10" s="355"/>
      <c r="H10" s="355"/>
      <c r="I10" s="332"/>
    </row>
    <row r="11" spans="1:9" x14ac:dyDescent="0.25">
      <c r="A11" s="355"/>
      <c r="B11" s="355"/>
      <c r="C11" s="355"/>
      <c r="D11" s="355"/>
      <c r="E11" s="355"/>
      <c r="F11" s="355"/>
      <c r="G11" s="355"/>
      <c r="H11" s="355"/>
      <c r="I11" s="332"/>
    </row>
    <row r="12" spans="1:9" ht="15" customHeight="1" x14ac:dyDescent="0.25">
      <c r="A12" s="320" t="s">
        <v>9</v>
      </c>
      <c r="B12" s="321"/>
      <c r="C12" s="321"/>
      <c r="D12" s="321"/>
      <c r="E12" s="321"/>
      <c r="F12" s="321"/>
      <c r="G12" s="321"/>
      <c r="H12" s="322"/>
      <c r="I12" s="332"/>
    </row>
    <row r="13" spans="1:9" ht="15" customHeight="1" x14ac:dyDescent="0.25">
      <c r="A13" s="313"/>
      <c r="B13" s="323"/>
      <c r="C13" s="323"/>
      <c r="D13" s="323"/>
      <c r="E13" s="323"/>
      <c r="F13" s="323"/>
      <c r="G13" s="323"/>
      <c r="H13" s="324"/>
      <c r="I13" s="332"/>
    </row>
    <row r="14" spans="1:9" ht="15" customHeight="1" x14ac:dyDescent="0.25">
      <c r="A14" s="325" t="s">
        <v>10</v>
      </c>
      <c r="B14" s="326" t="s">
        <v>152</v>
      </c>
      <c r="C14" s="326"/>
      <c r="D14" s="326"/>
      <c r="E14" s="326"/>
      <c r="F14" s="326"/>
      <c r="G14" s="326"/>
      <c r="H14" s="327"/>
      <c r="I14" s="332"/>
    </row>
    <row r="15" spans="1:9" ht="15" customHeight="1" x14ac:dyDescent="0.25">
      <c r="A15" s="325" t="s">
        <v>4</v>
      </c>
      <c r="B15" s="326" t="s">
        <v>151</v>
      </c>
      <c r="C15" s="326"/>
      <c r="D15" s="326"/>
      <c r="E15" s="326"/>
      <c r="F15" s="326"/>
      <c r="G15" s="326"/>
      <c r="H15" s="327"/>
      <c r="I15" s="332"/>
    </row>
    <row r="16" spans="1:9" ht="15" customHeight="1" x14ac:dyDescent="0.25">
      <c r="A16" s="325" t="s">
        <v>14</v>
      </c>
      <c r="B16" s="326" t="s">
        <v>42</v>
      </c>
      <c r="C16" s="326"/>
      <c r="D16" s="326"/>
      <c r="E16" s="326"/>
      <c r="F16" s="326"/>
      <c r="G16" s="326"/>
      <c r="H16" s="327"/>
      <c r="I16" s="332"/>
    </row>
    <row r="17" spans="1:9" ht="15" customHeight="1" x14ac:dyDescent="0.25">
      <c r="A17" s="325" t="s">
        <v>60</v>
      </c>
      <c r="B17" s="326" t="s">
        <v>160</v>
      </c>
      <c r="C17" s="326"/>
      <c r="D17" s="326"/>
      <c r="E17" s="326"/>
      <c r="F17" s="326"/>
      <c r="G17" s="326"/>
      <c r="H17" s="327"/>
      <c r="I17" s="332"/>
    </row>
    <row r="18" spans="1:9" ht="15" customHeight="1" x14ac:dyDescent="0.25">
      <c r="A18" s="325" t="s">
        <v>79</v>
      </c>
      <c r="B18" s="326" t="s">
        <v>175</v>
      </c>
      <c r="C18" s="326"/>
      <c r="D18" s="326"/>
      <c r="E18" s="328"/>
      <c r="F18" s="326"/>
      <c r="G18" s="326"/>
      <c r="H18" s="327"/>
      <c r="I18" s="332"/>
    </row>
    <row r="19" spans="1:9" ht="15" customHeight="1" x14ac:dyDescent="0.25">
      <c r="A19" s="325" t="s">
        <v>11</v>
      </c>
      <c r="B19" s="326" t="s">
        <v>12</v>
      </c>
      <c r="C19" s="326"/>
      <c r="D19" s="326"/>
      <c r="E19" s="326"/>
      <c r="F19" s="326"/>
      <c r="G19" s="326"/>
      <c r="H19" s="327"/>
      <c r="I19" s="332"/>
    </row>
    <row r="20" spans="1:9" ht="15" customHeight="1" x14ac:dyDescent="0.25">
      <c r="A20" s="317" t="s">
        <v>13</v>
      </c>
      <c r="B20" s="329" t="s">
        <v>12</v>
      </c>
      <c r="C20" s="329"/>
      <c r="D20" s="329"/>
      <c r="E20" s="329"/>
      <c r="F20" s="329"/>
      <c r="G20" s="329"/>
      <c r="H20" s="330"/>
      <c r="I20" s="332"/>
    </row>
    <row r="21" spans="1:9" ht="15" customHeight="1" x14ac:dyDescent="0.25">
      <c r="A21" s="331"/>
      <c r="B21" s="331"/>
      <c r="C21" s="331"/>
      <c r="D21" s="331"/>
      <c r="E21" s="331"/>
      <c r="F21" s="331"/>
      <c r="G21" s="331"/>
      <c r="H21" s="331"/>
      <c r="I21" s="332"/>
    </row>
    <row r="22" spans="1:9" ht="15" customHeight="1" x14ac:dyDescent="0.25">
      <c r="A22" s="311" t="s">
        <v>16</v>
      </c>
      <c r="B22" s="321"/>
      <c r="C22" s="321"/>
      <c r="D22" s="321"/>
      <c r="E22" s="321"/>
      <c r="F22" s="322"/>
      <c r="G22" s="332"/>
      <c r="H22" s="332"/>
      <c r="I22" s="332"/>
    </row>
    <row r="23" spans="1:9" s="59" customFormat="1" ht="15" customHeight="1" x14ac:dyDescent="0.25">
      <c r="A23" s="363"/>
      <c r="B23" s="334" t="s">
        <v>32</v>
      </c>
      <c r="C23" s="335"/>
      <c r="D23" s="334" t="s">
        <v>19</v>
      </c>
      <c r="E23" s="335"/>
      <c r="F23" s="336" t="s">
        <v>33</v>
      </c>
      <c r="G23" s="364"/>
      <c r="H23" s="364"/>
      <c r="I23" s="364"/>
    </row>
    <row r="24" spans="1:9" ht="15" customHeight="1" x14ac:dyDescent="0.25">
      <c r="A24" s="325" t="s">
        <v>31</v>
      </c>
      <c r="B24" s="326"/>
      <c r="C24" s="326"/>
      <c r="D24" s="326"/>
      <c r="E24" s="326"/>
      <c r="F24" s="327"/>
      <c r="G24" s="332"/>
      <c r="H24" s="332"/>
      <c r="I24" s="332"/>
    </row>
    <row r="25" spans="1:9" ht="15" customHeight="1" x14ac:dyDescent="0.25">
      <c r="A25" s="337" t="s">
        <v>34</v>
      </c>
      <c r="B25" s="326">
        <v>10</v>
      </c>
      <c r="C25" s="326"/>
      <c r="D25" s="326">
        <v>1</v>
      </c>
      <c r="E25" s="326"/>
      <c r="F25" s="327">
        <v>2</v>
      </c>
      <c r="G25" s="332"/>
      <c r="H25" s="332"/>
      <c r="I25" s="332"/>
    </row>
    <row r="26" spans="1:9" ht="15" customHeight="1" x14ac:dyDescent="0.25">
      <c r="A26" s="337">
        <v>2</v>
      </c>
      <c r="B26" s="326">
        <v>10</v>
      </c>
      <c r="C26" s="326"/>
      <c r="D26" s="326">
        <v>1</v>
      </c>
      <c r="E26" s="326"/>
      <c r="F26" s="327">
        <v>2</v>
      </c>
      <c r="G26" s="332"/>
      <c r="H26" s="332"/>
      <c r="I26" s="332"/>
    </row>
    <row r="27" spans="1:9" ht="15" customHeight="1" x14ac:dyDescent="0.25">
      <c r="A27" s="338" t="s">
        <v>36</v>
      </c>
      <c r="B27" s="326">
        <v>10</v>
      </c>
      <c r="C27" s="326"/>
      <c r="D27" s="326">
        <v>1</v>
      </c>
      <c r="E27" s="326"/>
      <c r="F27" s="327">
        <v>2</v>
      </c>
      <c r="G27" s="332"/>
      <c r="H27" s="332"/>
      <c r="I27" s="332"/>
    </row>
    <row r="28" spans="1:9" ht="15" customHeight="1" x14ac:dyDescent="0.25">
      <c r="A28" s="338" t="s">
        <v>37</v>
      </c>
      <c r="B28" s="326">
        <v>10</v>
      </c>
      <c r="C28" s="326"/>
      <c r="D28" s="326">
        <v>2</v>
      </c>
      <c r="E28" s="326"/>
      <c r="F28" s="327">
        <v>3</v>
      </c>
      <c r="G28" s="332"/>
      <c r="H28" s="332"/>
      <c r="I28" s="332"/>
    </row>
    <row r="29" spans="1:9" ht="15" customHeight="1" x14ac:dyDescent="0.25">
      <c r="A29" s="339" t="s">
        <v>35</v>
      </c>
      <c r="B29" s="326">
        <v>10</v>
      </c>
      <c r="C29" s="326"/>
      <c r="D29" s="326">
        <v>2</v>
      </c>
      <c r="E29" s="326"/>
      <c r="F29" s="327">
        <v>4</v>
      </c>
      <c r="G29" s="332"/>
      <c r="H29" s="332"/>
      <c r="I29" s="332"/>
    </row>
    <row r="30" spans="1:9" ht="15" customHeight="1" x14ac:dyDescent="0.25">
      <c r="A30" s="325" t="s">
        <v>38</v>
      </c>
      <c r="B30" s="326">
        <v>10</v>
      </c>
      <c r="C30" s="326"/>
      <c r="D30" s="326">
        <v>2</v>
      </c>
      <c r="E30" s="326"/>
      <c r="F30" s="327">
        <v>5</v>
      </c>
      <c r="G30" s="332"/>
      <c r="H30" s="332"/>
      <c r="I30" s="332"/>
    </row>
    <row r="31" spans="1:9" ht="15" customHeight="1" x14ac:dyDescent="0.25">
      <c r="A31" s="340" t="s">
        <v>39</v>
      </c>
      <c r="B31" s="341">
        <v>10</v>
      </c>
      <c r="C31" s="341"/>
      <c r="D31" s="342">
        <v>2</v>
      </c>
      <c r="E31" s="341"/>
      <c r="F31" s="343">
        <v>6</v>
      </c>
      <c r="G31" s="332"/>
      <c r="H31" s="332"/>
      <c r="I31" s="332"/>
    </row>
    <row r="32" spans="1:9" ht="15" customHeight="1" x14ac:dyDescent="0.25">
      <c r="A32" s="344" t="s">
        <v>40</v>
      </c>
      <c r="B32" s="345">
        <v>10</v>
      </c>
      <c r="C32" s="345"/>
      <c r="D32" s="346">
        <v>2</v>
      </c>
      <c r="E32" s="345"/>
      <c r="F32" s="347">
        <v>7</v>
      </c>
      <c r="G32" s="332"/>
      <c r="H32" s="332"/>
      <c r="I32" s="332"/>
    </row>
    <row r="33" spans="1:9" ht="15" customHeight="1" x14ac:dyDescent="0.25">
      <c r="A33" s="341"/>
      <c r="B33" s="341"/>
      <c r="C33" s="341"/>
      <c r="D33" s="342"/>
      <c r="E33" s="341"/>
      <c r="F33" s="341"/>
      <c r="G33" s="341"/>
      <c r="H33" s="341"/>
      <c r="I33" s="332"/>
    </row>
    <row r="34" spans="1:9" ht="15" customHeight="1" x14ac:dyDescent="0.25">
      <c r="A34" s="341"/>
      <c r="B34" s="341"/>
      <c r="C34" s="341"/>
      <c r="D34" s="342"/>
      <c r="E34" s="341"/>
      <c r="F34" s="341"/>
      <c r="G34" s="341"/>
      <c r="H34" s="341"/>
      <c r="I34" s="332"/>
    </row>
    <row r="35" spans="1:9" ht="15" customHeight="1" x14ac:dyDescent="0.25">
      <c r="A35" s="341"/>
      <c r="B35" s="341"/>
      <c r="C35" s="341"/>
      <c r="D35" s="342"/>
      <c r="E35" s="341"/>
      <c r="F35" s="341"/>
      <c r="G35" s="341"/>
      <c r="H35" s="341"/>
      <c r="I35" s="332"/>
    </row>
    <row r="36" spans="1:9" ht="15" customHeight="1" x14ac:dyDescent="0.25">
      <c r="A36" s="341"/>
      <c r="B36" s="341"/>
      <c r="C36" s="341"/>
      <c r="D36" s="342"/>
      <c r="E36" s="341"/>
      <c r="F36" s="341"/>
      <c r="G36" s="341"/>
      <c r="H36" s="341"/>
      <c r="I36" s="332"/>
    </row>
    <row r="37" spans="1:9" ht="15" customHeight="1" x14ac:dyDescent="0.25">
      <c r="A37" s="341"/>
      <c r="B37" s="341"/>
      <c r="C37" s="341"/>
      <c r="D37" s="342"/>
      <c r="E37" s="341"/>
      <c r="F37" s="341"/>
      <c r="G37" s="341"/>
      <c r="H37" s="341"/>
      <c r="I37" s="332"/>
    </row>
    <row r="38" spans="1:9" ht="15" customHeight="1" x14ac:dyDescent="0.25">
      <c r="A38" s="45"/>
      <c r="B38" s="10"/>
      <c r="C38" s="10"/>
      <c r="D38" s="46"/>
      <c r="E38" s="10"/>
      <c r="F38" s="10"/>
      <c r="G38" s="10"/>
      <c r="H38" s="10"/>
    </row>
    <row r="39" spans="1:9" ht="15" customHeight="1" x14ac:dyDescent="0.25">
      <c r="A39" s="45"/>
      <c r="B39" s="10"/>
      <c r="C39" s="10"/>
      <c r="D39" s="46"/>
      <c r="E39" s="10"/>
      <c r="F39" s="10"/>
      <c r="G39" s="10"/>
      <c r="H39" s="10"/>
    </row>
    <row r="40" spans="1:9" ht="15" customHeight="1" x14ac:dyDescent="0.25">
      <c r="A40" s="45"/>
      <c r="B40" s="10"/>
      <c r="C40" s="10"/>
      <c r="D40" s="46"/>
      <c r="E40" s="10"/>
      <c r="F40" s="10"/>
      <c r="G40" s="10"/>
      <c r="H40" s="10"/>
    </row>
    <row r="41" spans="1:9" ht="15" customHeight="1" x14ac:dyDescent="0.25">
      <c r="A41" s="45"/>
      <c r="B41" s="10"/>
      <c r="C41" s="10"/>
      <c r="D41" s="46"/>
      <c r="E41" s="10"/>
      <c r="F41" s="10"/>
      <c r="G41" s="10"/>
      <c r="H41" s="10"/>
    </row>
    <row r="42" spans="1:9" ht="15" customHeight="1" x14ac:dyDescent="0.25">
      <c r="A42" s="45"/>
      <c r="B42" s="10"/>
      <c r="C42" s="10"/>
      <c r="D42" s="46"/>
      <c r="E42" s="10"/>
      <c r="F42" s="10"/>
      <c r="G42" s="10"/>
      <c r="H42" s="10"/>
    </row>
    <row r="43" spans="1:9" ht="15" customHeight="1" x14ac:dyDescent="0.25">
      <c r="A43" s="45"/>
      <c r="B43" s="10"/>
      <c r="C43" s="10"/>
      <c r="D43" s="46"/>
      <c r="E43" s="10"/>
      <c r="F43" s="10"/>
      <c r="G43" s="10"/>
      <c r="H43" s="10"/>
    </row>
    <row r="44" spans="1:9" ht="15" customHeight="1" x14ac:dyDescent="0.25">
      <c r="A44" s="45"/>
      <c r="B44" s="10"/>
      <c r="C44" s="10"/>
      <c r="D44" s="46"/>
      <c r="E44" s="10"/>
      <c r="F44" s="10"/>
      <c r="G44" s="10"/>
      <c r="H44" s="10"/>
    </row>
    <row r="45" spans="1:9" ht="15.75" x14ac:dyDescent="0.25">
      <c r="A45" s="215"/>
      <c r="B45" s="215"/>
      <c r="C45" s="215"/>
      <c r="D45" s="215"/>
      <c r="E45" s="215"/>
      <c r="F45" s="215"/>
      <c r="G45" s="215"/>
      <c r="H45" s="215"/>
    </row>
    <row r="46" spans="1:9" x14ac:dyDescent="0.25">
      <c r="A46" s="236"/>
      <c r="B46" s="236"/>
      <c r="C46" s="236"/>
      <c r="D46" s="236"/>
      <c r="E46" s="236"/>
      <c r="F46" s="236"/>
      <c r="G46" s="236"/>
      <c r="H46" s="236"/>
    </row>
    <row r="47" spans="1:9" x14ac:dyDescent="0.25">
      <c r="A47" s="216"/>
      <c r="B47" s="216"/>
      <c r="C47" s="216"/>
      <c r="D47" s="216"/>
      <c r="E47" s="216"/>
      <c r="F47" s="216"/>
      <c r="G47" s="216"/>
      <c r="H47" s="216"/>
    </row>
    <row r="48" spans="1:9" x14ac:dyDescent="0.25">
      <c r="A48" s="222"/>
      <c r="B48" s="222"/>
      <c r="C48" s="222"/>
      <c r="D48" s="222"/>
      <c r="E48" s="222"/>
      <c r="F48" s="222"/>
      <c r="G48" s="225"/>
      <c r="H48" s="225"/>
    </row>
    <row r="49" spans="1:8" x14ac:dyDescent="0.25">
      <c r="A49" s="222"/>
      <c r="B49" s="222"/>
      <c r="C49" s="222"/>
      <c r="D49" s="222"/>
      <c r="E49" s="222"/>
      <c r="F49" s="222"/>
      <c r="G49" s="225"/>
      <c r="H49" s="225"/>
    </row>
    <row r="50" spans="1:8" x14ac:dyDescent="0.25">
      <c r="A50" s="222"/>
      <c r="B50" s="222"/>
      <c r="C50" s="225"/>
      <c r="D50" s="225"/>
      <c r="E50" s="225"/>
      <c r="F50" s="235"/>
      <c r="G50" s="225"/>
      <c r="H50" s="225"/>
    </row>
    <row r="51" spans="1:8" x14ac:dyDescent="0.25">
      <c r="A51" s="221"/>
      <c r="B51" s="222"/>
      <c r="C51" s="223"/>
      <c r="D51" s="223"/>
      <c r="E51" s="223"/>
      <c r="F51" s="224"/>
      <c r="G51" s="223"/>
      <c r="H51" s="223"/>
    </row>
    <row r="52" spans="1:8" x14ac:dyDescent="0.25">
      <c r="A52" s="222"/>
      <c r="B52" s="222"/>
      <c r="C52" s="223"/>
      <c r="D52" s="223"/>
      <c r="E52" s="223"/>
      <c r="F52" s="224"/>
      <c r="G52" s="223"/>
      <c r="H52" s="223"/>
    </row>
    <row r="53" spans="1:8" x14ac:dyDescent="0.25">
      <c r="A53" s="222"/>
      <c r="B53" s="222"/>
      <c r="C53" s="223"/>
      <c r="D53" s="223"/>
      <c r="E53" s="223"/>
      <c r="F53" s="224"/>
      <c r="G53" s="223"/>
      <c r="H53" s="223"/>
    </row>
    <row r="54" spans="1:8" ht="15.75" x14ac:dyDescent="0.25">
      <c r="A54" s="237"/>
      <c r="B54" s="237"/>
      <c r="C54" s="237"/>
      <c r="D54" s="237"/>
      <c r="E54" s="237"/>
      <c r="F54" s="237"/>
      <c r="G54" s="237"/>
      <c r="H54" s="237"/>
    </row>
    <row r="55" spans="1:8" x14ac:dyDescent="0.25">
      <c r="A55" s="221"/>
      <c r="B55" s="222"/>
      <c r="C55" s="222"/>
      <c r="D55" s="225"/>
      <c r="E55" s="221"/>
      <c r="F55" s="225"/>
      <c r="G55" s="222"/>
      <c r="H55" s="222"/>
    </row>
    <row r="56" spans="1:8" x14ac:dyDescent="0.25">
      <c r="A56" s="222"/>
      <c r="B56" s="222"/>
      <c r="C56" s="222"/>
      <c r="D56" s="223"/>
      <c r="E56" s="222"/>
      <c r="F56" s="226"/>
      <c r="G56" s="222"/>
      <c r="H56" s="222"/>
    </row>
    <row r="57" spans="1:8" ht="14.25" customHeight="1" x14ac:dyDescent="0.25">
      <c r="A57" s="222"/>
      <c r="B57" s="222"/>
      <c r="C57" s="222"/>
      <c r="D57" s="227"/>
      <c r="E57" s="222"/>
      <c r="F57" s="228"/>
      <c r="G57" s="222"/>
      <c r="H57" s="222"/>
    </row>
    <row r="58" spans="1:8" x14ac:dyDescent="0.25">
      <c r="A58" s="229"/>
      <c r="B58" s="222"/>
      <c r="C58" s="222"/>
      <c r="D58" s="223"/>
      <c r="E58" s="222"/>
      <c r="F58" s="226"/>
      <c r="G58" s="222"/>
      <c r="H58" s="222"/>
    </row>
    <row r="59" spans="1:8" x14ac:dyDescent="0.25">
      <c r="A59" s="229"/>
      <c r="B59" s="229"/>
      <c r="C59" s="222"/>
      <c r="D59" s="227"/>
      <c r="E59" s="222"/>
      <c r="F59" s="226"/>
      <c r="G59" s="222"/>
      <c r="H59" s="222"/>
    </row>
    <row r="60" spans="1:8" x14ac:dyDescent="0.25">
      <c r="A60" s="222"/>
      <c r="B60" s="222"/>
      <c r="C60" s="222"/>
      <c r="D60" s="227"/>
      <c r="E60" s="222"/>
      <c r="F60" s="222"/>
      <c r="G60" s="222"/>
      <c r="H60" s="222"/>
    </row>
    <row r="61" spans="1:8" x14ac:dyDescent="0.25">
      <c r="A61" s="221"/>
      <c r="B61" s="222"/>
      <c r="C61" s="222"/>
      <c r="D61" s="225"/>
      <c r="E61" s="221"/>
      <c r="F61" s="225"/>
      <c r="G61" s="222"/>
      <c r="H61" s="222"/>
    </row>
    <row r="62" spans="1:8" x14ac:dyDescent="0.25">
      <c r="A62" s="222"/>
      <c r="B62" s="222"/>
      <c r="C62" s="222"/>
      <c r="D62" s="227"/>
      <c r="E62" s="222"/>
      <c r="F62" s="228"/>
      <c r="G62" s="222"/>
      <c r="H62" s="222"/>
    </row>
    <row r="63" spans="1:8" x14ac:dyDescent="0.25">
      <c r="A63" s="222"/>
      <c r="B63" s="222"/>
      <c r="C63" s="222"/>
      <c r="D63" s="227"/>
      <c r="E63" s="222"/>
      <c r="F63" s="228"/>
      <c r="G63" s="222"/>
      <c r="H63" s="222"/>
    </row>
    <row r="64" spans="1:8" x14ac:dyDescent="0.25">
      <c r="A64" s="229"/>
      <c r="B64" s="222"/>
      <c r="C64" s="222"/>
      <c r="D64" s="227"/>
      <c r="E64" s="222"/>
      <c r="F64" s="226"/>
      <c r="G64" s="222"/>
      <c r="H64" s="222"/>
    </row>
    <row r="65" spans="1:8" x14ac:dyDescent="0.25">
      <c r="A65" s="229"/>
      <c r="B65" s="229"/>
      <c r="C65" s="222"/>
      <c r="D65" s="227"/>
      <c r="E65" s="222"/>
      <c r="F65" s="226"/>
      <c r="G65" s="64"/>
      <c r="H65" s="64"/>
    </row>
    <row r="66" spans="1:8" x14ac:dyDescent="0.25">
      <c r="A66" s="222"/>
      <c r="B66" s="222"/>
      <c r="C66" s="222"/>
      <c r="D66" s="227"/>
      <c r="E66" s="222"/>
      <c r="F66" s="226"/>
      <c r="G66" s="64"/>
      <c r="H66" s="64"/>
    </row>
    <row r="67" spans="1:8" x14ac:dyDescent="0.25">
      <c r="A67" s="221"/>
      <c r="B67" s="222"/>
      <c r="C67" s="222"/>
      <c r="D67" s="225"/>
      <c r="E67" s="221"/>
      <c r="F67" s="225"/>
      <c r="G67" s="64"/>
      <c r="H67" s="64"/>
    </row>
    <row r="68" spans="1:8" x14ac:dyDescent="0.25">
      <c r="A68" s="222"/>
      <c r="B68" s="222"/>
      <c r="C68" s="222"/>
      <c r="D68" s="227"/>
      <c r="E68" s="222"/>
      <c r="F68" s="228"/>
      <c r="G68" s="64"/>
      <c r="H68" s="64"/>
    </row>
    <row r="69" spans="1:8" x14ac:dyDescent="0.25">
      <c r="A69" s="222"/>
      <c r="B69" s="222"/>
      <c r="C69" s="222"/>
      <c r="D69" s="227"/>
      <c r="E69" s="222"/>
      <c r="F69" s="228"/>
      <c r="G69" s="64"/>
      <c r="H69" s="64"/>
    </row>
    <row r="70" spans="1:8" x14ac:dyDescent="0.25">
      <c r="A70" s="229"/>
      <c r="B70" s="222"/>
      <c r="C70" s="222"/>
      <c r="D70" s="227"/>
      <c r="E70" s="222"/>
      <c r="F70" s="226"/>
      <c r="G70" s="64"/>
      <c r="H70" s="64"/>
    </row>
    <row r="71" spans="1:8" x14ac:dyDescent="0.25">
      <c r="A71" s="229"/>
      <c r="B71" s="229"/>
      <c r="C71" s="222"/>
      <c r="D71" s="227"/>
      <c r="E71" s="222"/>
      <c r="F71" s="226"/>
      <c r="G71" s="64"/>
      <c r="H71" s="64"/>
    </row>
    <row r="72" spans="1:8" x14ac:dyDescent="0.25">
      <c r="A72" s="222"/>
      <c r="B72" s="222"/>
      <c r="C72" s="222"/>
      <c r="D72" s="227"/>
      <c r="E72" s="222"/>
      <c r="F72" s="226"/>
      <c r="G72" s="64"/>
      <c r="H72" s="64"/>
    </row>
    <row r="73" spans="1:8" x14ac:dyDescent="0.25">
      <c r="A73" s="221"/>
      <c r="B73" s="222"/>
      <c r="C73" s="222"/>
      <c r="D73" s="225"/>
      <c r="E73" s="221"/>
      <c r="F73" s="225"/>
      <c r="G73" s="64"/>
      <c r="H73" s="64"/>
    </row>
    <row r="74" spans="1:8" x14ac:dyDescent="0.25">
      <c r="A74" s="222"/>
      <c r="B74" s="222"/>
      <c r="C74" s="222"/>
      <c r="D74" s="234"/>
      <c r="E74" s="222"/>
      <c r="F74" s="228"/>
      <c r="G74" s="64"/>
      <c r="H74" s="64"/>
    </row>
    <row r="75" spans="1:8" x14ac:dyDescent="0.25">
      <c r="A75" s="222"/>
      <c r="B75" s="222"/>
      <c r="C75" s="222"/>
      <c r="D75" s="234"/>
      <c r="E75" s="222"/>
      <c r="F75" s="228"/>
      <c r="G75" s="64"/>
      <c r="H75" s="64"/>
    </row>
    <row r="76" spans="1:8" x14ac:dyDescent="0.25">
      <c r="A76" s="229"/>
      <c r="B76" s="222"/>
      <c r="C76" s="222"/>
      <c r="D76" s="234"/>
      <c r="E76" s="222"/>
      <c r="F76" s="226"/>
      <c r="G76" s="64"/>
      <c r="H76" s="64"/>
    </row>
    <row r="77" spans="1:8" x14ac:dyDescent="0.25">
      <c r="A77" s="229"/>
      <c r="B77" s="229"/>
      <c r="C77" s="222"/>
      <c r="D77" s="234"/>
      <c r="E77" s="222"/>
      <c r="F77" s="226"/>
      <c r="G77" s="64"/>
      <c r="H77" s="64"/>
    </row>
    <row r="78" spans="1:8" x14ac:dyDescent="0.25">
      <c r="A78" s="222"/>
      <c r="B78" s="222"/>
      <c r="C78" s="222"/>
      <c r="D78" s="234"/>
      <c r="E78" s="222"/>
      <c r="F78" s="226"/>
      <c r="G78" s="64"/>
      <c r="H78" s="64"/>
    </row>
    <row r="79" spans="1:8" x14ac:dyDescent="0.25">
      <c r="A79" s="221"/>
      <c r="B79" s="222"/>
      <c r="C79" s="222"/>
      <c r="D79" s="225"/>
      <c r="E79" s="221"/>
      <c r="F79" s="225"/>
      <c r="G79" s="64"/>
      <c r="H79" s="64"/>
    </row>
    <row r="80" spans="1:8" x14ac:dyDescent="0.25">
      <c r="A80" s="222"/>
      <c r="B80" s="222"/>
      <c r="C80" s="222"/>
      <c r="D80" s="227"/>
      <c r="E80" s="222"/>
      <c r="F80" s="228"/>
      <c r="G80" s="64"/>
      <c r="H80" s="64"/>
    </row>
    <row r="81" spans="1:8" x14ac:dyDescent="0.25">
      <c r="A81" s="222"/>
      <c r="B81" s="222"/>
      <c r="C81" s="222"/>
      <c r="D81" s="227"/>
      <c r="E81" s="222"/>
      <c r="F81" s="228"/>
      <c r="G81" s="222"/>
      <c r="H81" s="222"/>
    </row>
    <row r="82" spans="1:8" x14ac:dyDescent="0.25">
      <c r="A82" s="229"/>
      <c r="B82" s="222"/>
      <c r="C82" s="222"/>
      <c r="D82" s="227"/>
      <c r="E82" s="222"/>
      <c r="F82" s="226"/>
      <c r="G82" s="222"/>
      <c r="H82" s="222"/>
    </row>
    <row r="83" spans="1:8" x14ac:dyDescent="0.25">
      <c r="A83" s="229"/>
      <c r="B83" s="229"/>
      <c r="C83" s="222"/>
      <c r="D83" s="227"/>
      <c r="E83" s="222"/>
      <c r="F83" s="226"/>
      <c r="G83" s="222"/>
      <c r="H83" s="222"/>
    </row>
    <row r="84" spans="1:8" x14ac:dyDescent="0.25">
      <c r="A84" s="229"/>
      <c r="B84" s="229"/>
      <c r="C84" s="222"/>
      <c r="D84" s="227"/>
      <c r="E84" s="222"/>
      <c r="F84" s="226"/>
      <c r="G84" s="222"/>
      <c r="H84" s="222"/>
    </row>
    <row r="85" spans="1:8" ht="30.75" customHeight="1" x14ac:dyDescent="0.25">
      <c r="A85" s="217"/>
      <c r="B85" s="217"/>
      <c r="C85" s="217"/>
      <c r="D85" s="217"/>
      <c r="E85" s="217"/>
      <c r="F85" s="217"/>
      <c r="G85" s="217"/>
      <c r="H85" s="217"/>
    </row>
    <row r="86" spans="1:8" x14ac:dyDescent="0.25">
      <c r="A86" s="64"/>
      <c r="B86" s="64"/>
      <c r="C86" s="64"/>
      <c r="D86" s="64"/>
      <c r="E86" s="64"/>
      <c r="F86" s="64"/>
      <c r="G86" s="64"/>
      <c r="H86" s="64"/>
    </row>
    <row r="87" spans="1:8" x14ac:dyDescent="0.25">
      <c r="A87" s="64"/>
      <c r="B87" s="64"/>
      <c r="C87" s="64"/>
      <c r="D87" s="64"/>
      <c r="E87" s="64"/>
      <c r="F87" s="64"/>
      <c r="G87" s="64"/>
      <c r="H87" s="64"/>
    </row>
    <row r="88" spans="1:8" x14ac:dyDescent="0.25">
      <c r="A88" s="64"/>
      <c r="B88" s="64"/>
      <c r="C88" s="64"/>
      <c r="D88" s="64"/>
      <c r="E88" s="64"/>
      <c r="F88" s="64"/>
      <c r="G88" s="64"/>
      <c r="H88" s="64"/>
    </row>
    <row r="89" spans="1:8" x14ac:dyDescent="0.25">
      <c r="A89" s="64"/>
      <c r="B89" s="64"/>
      <c r="C89" s="64"/>
      <c r="D89" s="64"/>
      <c r="E89" s="64"/>
      <c r="F89" s="64"/>
      <c r="G89" s="64"/>
      <c r="H89" s="64"/>
    </row>
    <row r="90" spans="1:8" x14ac:dyDescent="0.25">
      <c r="A90" s="64"/>
      <c r="B90" s="64"/>
      <c r="C90" s="64"/>
      <c r="D90" s="64"/>
      <c r="E90" s="64"/>
      <c r="F90" s="64"/>
      <c r="G90" s="64"/>
      <c r="H90" s="64"/>
    </row>
    <row r="91" spans="1:8" x14ac:dyDescent="0.25">
      <c r="A91" s="64"/>
      <c r="B91" s="64"/>
      <c r="C91" s="64"/>
      <c r="D91" s="64"/>
      <c r="E91" s="64"/>
      <c r="F91" s="64"/>
      <c r="G91" s="64"/>
      <c r="H91" s="64"/>
    </row>
    <row r="92" spans="1:8" x14ac:dyDescent="0.25">
      <c r="A92" s="64"/>
      <c r="B92" s="64"/>
      <c r="C92" s="64"/>
      <c r="D92" s="64"/>
      <c r="E92" s="64"/>
      <c r="F92" s="64"/>
      <c r="G92" s="64"/>
      <c r="H92" s="64"/>
    </row>
    <row r="93" spans="1:8" x14ac:dyDescent="0.25">
      <c r="A93" s="64"/>
      <c r="B93" s="64"/>
      <c r="C93" s="64"/>
      <c r="D93" s="64"/>
      <c r="E93" s="64"/>
      <c r="F93" s="64"/>
      <c r="G93" s="64"/>
      <c r="H93" s="64"/>
    </row>
    <row r="94" spans="1:8" x14ac:dyDescent="0.25">
      <c r="A94" s="64"/>
      <c r="B94" s="64"/>
      <c r="C94" s="64"/>
      <c r="D94" s="64"/>
      <c r="E94" s="64"/>
      <c r="F94" s="64"/>
      <c r="G94" s="64"/>
      <c r="H94" s="64"/>
    </row>
    <row r="95" spans="1:8" x14ac:dyDescent="0.25">
      <c r="A95" s="64"/>
      <c r="B95" s="64"/>
      <c r="C95" s="64"/>
      <c r="D95" s="64"/>
      <c r="E95" s="64"/>
      <c r="F95" s="64"/>
      <c r="G95" s="64"/>
      <c r="H95" s="64"/>
    </row>
    <row r="96" spans="1:8" x14ac:dyDescent="0.25">
      <c r="A96" s="64"/>
      <c r="B96" s="64"/>
      <c r="C96" s="64"/>
      <c r="D96" s="64"/>
      <c r="E96" s="64"/>
      <c r="F96" s="64"/>
      <c r="G96" s="64"/>
      <c r="H96" s="64"/>
    </row>
    <row r="97" spans="1:8" x14ac:dyDescent="0.25">
      <c r="A97" s="64"/>
      <c r="B97" s="64"/>
      <c r="C97" s="64"/>
      <c r="D97" s="64"/>
      <c r="E97" s="64"/>
      <c r="F97" s="64"/>
      <c r="G97" s="64"/>
      <c r="H97" s="64"/>
    </row>
    <row r="98" spans="1:8" x14ac:dyDescent="0.25">
      <c r="A98" s="64"/>
      <c r="B98" s="64"/>
      <c r="C98" s="64"/>
      <c r="D98" s="64"/>
      <c r="E98" s="64"/>
      <c r="F98" s="64"/>
      <c r="G98" s="64"/>
      <c r="H98" s="64"/>
    </row>
    <row r="99" spans="1:8" x14ac:dyDescent="0.25">
      <c r="A99" s="64"/>
      <c r="B99" s="64"/>
      <c r="C99" s="64"/>
      <c r="D99" s="64"/>
      <c r="E99" s="64"/>
      <c r="F99" s="64"/>
      <c r="G99" s="64"/>
      <c r="H99" s="64"/>
    </row>
    <row r="100" spans="1:8" x14ac:dyDescent="0.25">
      <c r="A100" s="64"/>
      <c r="B100" s="64"/>
      <c r="C100" s="64"/>
      <c r="D100" s="64"/>
      <c r="E100" s="64"/>
      <c r="F100" s="64"/>
      <c r="G100" s="64"/>
      <c r="H100" s="64"/>
    </row>
    <row r="101" spans="1:8" x14ac:dyDescent="0.25">
      <c r="A101" s="64"/>
      <c r="B101" s="64"/>
      <c r="C101" s="64"/>
      <c r="D101" s="64"/>
      <c r="E101" s="64"/>
      <c r="F101" s="64"/>
      <c r="G101" s="64"/>
      <c r="H101" s="64"/>
    </row>
    <row r="102" spans="1:8" x14ac:dyDescent="0.25">
      <c r="A102" s="64"/>
      <c r="B102" s="64"/>
      <c r="C102" s="64"/>
      <c r="D102" s="64"/>
      <c r="E102" s="64"/>
      <c r="F102" s="64"/>
      <c r="G102" s="64"/>
      <c r="H102" s="64"/>
    </row>
  </sheetData>
  <mergeCells count="5">
    <mergeCell ref="B5:E5"/>
    <mergeCell ref="F9:H9"/>
    <mergeCell ref="A1:H1"/>
    <mergeCell ref="A2:H2"/>
    <mergeCell ref="A3:H3"/>
  </mergeCells>
  <phoneticPr fontId="11" type="noConversion"/>
  <pageMargins left="0.7" right="0.7" top="1.01" bottom="0.5" header="0.3" footer="0.3"/>
  <pageSetup orientation="portrait" r:id="rId1"/>
  <headerFooter>
    <oddHeader>&amp;R&amp;D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11"/>
  <sheetViews>
    <sheetView workbookViewId="0">
      <selection activeCell="A8" sqref="A8:I41"/>
    </sheetView>
  </sheetViews>
  <sheetFormatPr defaultRowHeight="15" x14ac:dyDescent="0.25"/>
  <cols>
    <col min="1" max="1" width="19.7109375" customWidth="1"/>
    <col min="8" max="8" width="10.85546875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9" ht="18.75" x14ac:dyDescent="0.3">
      <c r="A3" s="1005" t="s">
        <v>20</v>
      </c>
      <c r="B3" s="1005"/>
      <c r="C3" s="1005"/>
      <c r="D3" s="1005"/>
      <c r="E3" s="1005"/>
      <c r="F3" s="1005"/>
      <c r="G3" s="1005"/>
      <c r="H3" s="1005"/>
    </row>
    <row r="4" spans="1:9" x14ac:dyDescent="0.25">
      <c r="A4" s="716" t="s">
        <v>21</v>
      </c>
      <c r="B4" s="716"/>
      <c r="C4" s="716"/>
      <c r="D4" s="716"/>
      <c r="E4" s="716"/>
      <c r="F4" s="716"/>
      <c r="G4" s="716"/>
      <c r="H4" s="716"/>
    </row>
    <row r="5" spans="1:9" x14ac:dyDescent="0.25">
      <c r="A5" s="56"/>
      <c r="B5" s="56"/>
      <c r="C5" s="56"/>
      <c r="D5" s="56"/>
      <c r="E5" s="56"/>
      <c r="F5" s="56"/>
      <c r="G5" s="56"/>
      <c r="H5" s="56"/>
    </row>
    <row r="6" spans="1:9" x14ac:dyDescent="0.25">
      <c r="A6" s="56"/>
      <c r="B6" s="56"/>
      <c r="C6" s="56"/>
      <c r="D6" s="56"/>
      <c r="E6" s="56"/>
      <c r="F6" s="56"/>
      <c r="G6" s="56"/>
      <c r="H6" s="56"/>
    </row>
    <row r="7" spans="1:9" x14ac:dyDescent="0.25">
      <c r="A7" s="56"/>
      <c r="B7" s="56"/>
      <c r="C7" s="56"/>
      <c r="D7" s="56"/>
      <c r="E7" s="56"/>
      <c r="F7" s="56"/>
      <c r="G7" s="56"/>
      <c r="H7" s="56"/>
    </row>
    <row r="8" spans="1:9" x14ac:dyDescent="0.25">
      <c r="A8" s="365"/>
      <c r="B8" s="365"/>
      <c r="C8" s="365"/>
      <c r="D8" s="365"/>
      <c r="E8" s="365"/>
      <c r="F8" s="365"/>
      <c r="G8" s="365"/>
      <c r="H8" s="365"/>
      <c r="I8" s="332"/>
    </row>
    <row r="9" spans="1:9" x14ac:dyDescent="0.25">
      <c r="A9" s="311" t="s">
        <v>176</v>
      </c>
      <c r="B9" s="1007" t="s">
        <v>54</v>
      </c>
      <c r="C9" s="1007"/>
      <c r="D9" s="1007"/>
      <c r="E9" s="1008"/>
      <c r="F9" s="365"/>
      <c r="G9" s="365"/>
      <c r="H9" s="365"/>
      <c r="I9" s="332"/>
    </row>
    <row r="10" spans="1:9" x14ac:dyDescent="0.25">
      <c r="A10" s="317" t="s">
        <v>164</v>
      </c>
      <c r="B10" s="334">
        <v>0</v>
      </c>
      <c r="C10" s="334">
        <v>1</v>
      </c>
      <c r="D10" s="356" t="s">
        <v>52</v>
      </c>
      <c r="E10" s="336" t="s">
        <v>53</v>
      </c>
      <c r="F10" s="365"/>
      <c r="G10" s="365"/>
      <c r="H10" s="365"/>
      <c r="I10" s="332"/>
    </row>
    <row r="11" spans="1:9" x14ac:dyDescent="0.25">
      <c r="A11" s="357"/>
      <c r="B11" s="366"/>
      <c r="C11" s="366"/>
      <c r="D11" s="366"/>
      <c r="E11" s="367"/>
      <c r="F11" s="365"/>
      <c r="G11" s="365"/>
      <c r="H11" s="365"/>
      <c r="I11" s="332"/>
    </row>
    <row r="12" spans="1:9" x14ac:dyDescent="0.25">
      <c r="A12" s="325" t="s">
        <v>58</v>
      </c>
      <c r="B12" s="368">
        <v>84.4</v>
      </c>
      <c r="C12" s="368">
        <v>85.4</v>
      </c>
      <c r="D12" s="368">
        <v>86.4</v>
      </c>
      <c r="E12" s="369">
        <v>86.8</v>
      </c>
      <c r="F12" s="365"/>
      <c r="G12" s="365"/>
      <c r="H12" s="365"/>
      <c r="I12" s="332"/>
    </row>
    <row r="13" spans="1:9" x14ac:dyDescent="0.25">
      <c r="A13" s="337" t="s">
        <v>59</v>
      </c>
      <c r="B13" s="368">
        <v>37.840000000000003</v>
      </c>
      <c r="C13" s="368">
        <v>37.840000000000003</v>
      </c>
      <c r="D13" s="368">
        <v>37.840000000000003</v>
      </c>
      <c r="E13" s="369">
        <v>37.840000000000003</v>
      </c>
      <c r="F13" s="365"/>
      <c r="G13" s="365"/>
      <c r="H13" s="365"/>
      <c r="I13" s="332"/>
    </row>
    <row r="14" spans="1:9" x14ac:dyDescent="0.25">
      <c r="A14" s="337" t="s">
        <v>153</v>
      </c>
      <c r="B14" s="368"/>
      <c r="C14" s="368"/>
      <c r="D14" s="368"/>
      <c r="E14" s="369"/>
      <c r="F14" s="365"/>
      <c r="G14" s="365"/>
      <c r="H14" s="365"/>
      <c r="I14" s="332"/>
    </row>
    <row r="15" spans="1:9" x14ac:dyDescent="0.25">
      <c r="A15" s="370" t="s">
        <v>169</v>
      </c>
      <c r="B15" s="371">
        <v>14.26</v>
      </c>
      <c r="C15" s="371">
        <v>14.26</v>
      </c>
      <c r="D15" s="371">
        <v>14.26</v>
      </c>
      <c r="E15" s="372">
        <v>14.26</v>
      </c>
      <c r="F15" s="332"/>
      <c r="G15" s="332"/>
      <c r="H15" s="332"/>
      <c r="I15" s="332"/>
    </row>
    <row r="16" spans="1:9" x14ac:dyDescent="0.25">
      <c r="A16" s="373"/>
      <c r="B16" s="373"/>
      <c r="C16" s="373"/>
      <c r="D16" s="374"/>
      <c r="E16" s="373"/>
      <c r="F16" s="373"/>
      <c r="G16" s="373"/>
      <c r="H16" s="373"/>
      <c r="I16" s="332"/>
    </row>
    <row r="17" spans="1:9" x14ac:dyDescent="0.25">
      <c r="A17" s="320" t="s">
        <v>9</v>
      </c>
      <c r="B17" s="321"/>
      <c r="C17" s="321"/>
      <c r="D17" s="321"/>
      <c r="E17" s="321"/>
      <c r="F17" s="321"/>
      <c r="G17" s="321"/>
      <c r="H17" s="322"/>
      <c r="I17" s="332"/>
    </row>
    <row r="18" spans="1:9" x14ac:dyDescent="0.25">
      <c r="A18" s="325" t="s">
        <v>10</v>
      </c>
      <c r="B18" s="326" t="s">
        <v>151</v>
      </c>
      <c r="C18" s="326"/>
      <c r="D18" s="326"/>
      <c r="E18" s="326"/>
      <c r="F18" s="326"/>
      <c r="G18" s="326"/>
      <c r="H18" s="327"/>
      <c r="I18" s="332"/>
    </row>
    <row r="19" spans="1:9" x14ac:dyDescent="0.25">
      <c r="A19" s="325" t="s">
        <v>4</v>
      </c>
      <c r="B19" s="326" t="s">
        <v>151</v>
      </c>
      <c r="C19" s="326"/>
      <c r="D19" s="326"/>
      <c r="E19" s="326"/>
      <c r="F19" s="326"/>
      <c r="G19" s="326"/>
      <c r="H19" s="327"/>
      <c r="I19" s="332"/>
    </row>
    <row r="20" spans="1:9" x14ac:dyDescent="0.25">
      <c r="A20" s="325" t="s">
        <v>14</v>
      </c>
      <c r="B20" s="326" t="s">
        <v>42</v>
      </c>
      <c r="C20" s="326"/>
      <c r="D20" s="326"/>
      <c r="E20" s="326"/>
      <c r="F20" s="326"/>
      <c r="G20" s="326"/>
      <c r="H20" s="327"/>
      <c r="I20" s="332"/>
    </row>
    <row r="21" spans="1:9" x14ac:dyDescent="0.25">
      <c r="A21" s="325" t="s">
        <v>61</v>
      </c>
      <c r="B21" s="326" t="s">
        <v>161</v>
      </c>
      <c r="C21" s="326"/>
      <c r="D21" s="326"/>
      <c r="E21" s="326"/>
      <c r="F21" s="326"/>
      <c r="G21" s="326"/>
      <c r="H21" s="327"/>
      <c r="I21" s="332"/>
    </row>
    <row r="22" spans="1:9" x14ac:dyDescent="0.25">
      <c r="A22" s="325" t="s">
        <v>79</v>
      </c>
      <c r="B22" s="326" t="s">
        <v>175</v>
      </c>
      <c r="C22" s="326"/>
      <c r="D22" s="326"/>
      <c r="E22" s="328"/>
      <c r="F22" s="326"/>
      <c r="G22" s="326"/>
      <c r="H22" s="327"/>
      <c r="I22" s="332"/>
    </row>
    <row r="23" spans="1:9" x14ac:dyDescent="0.25">
      <c r="A23" s="325" t="s">
        <v>11</v>
      </c>
      <c r="B23" s="326" t="s">
        <v>12</v>
      </c>
      <c r="C23" s="326"/>
      <c r="D23" s="326"/>
      <c r="E23" s="326"/>
      <c r="F23" s="326"/>
      <c r="G23" s="326"/>
      <c r="H23" s="327"/>
      <c r="I23" s="332"/>
    </row>
    <row r="24" spans="1:9" x14ac:dyDescent="0.25">
      <c r="A24" s="317" t="s">
        <v>13</v>
      </c>
      <c r="B24" s="329" t="s">
        <v>12</v>
      </c>
      <c r="C24" s="329"/>
      <c r="D24" s="329"/>
      <c r="E24" s="329"/>
      <c r="F24" s="329"/>
      <c r="G24" s="329"/>
      <c r="H24" s="330"/>
      <c r="I24" s="332"/>
    </row>
    <row r="25" spans="1:9" x14ac:dyDescent="0.25">
      <c r="A25" s="331"/>
      <c r="B25" s="331"/>
      <c r="C25" s="331"/>
      <c r="D25" s="331"/>
      <c r="E25" s="331"/>
      <c r="F25" s="331"/>
      <c r="G25" s="331"/>
      <c r="H25" s="331"/>
      <c r="I25" s="332"/>
    </row>
    <row r="26" spans="1:9" x14ac:dyDescent="0.25">
      <c r="A26" s="311" t="s">
        <v>16</v>
      </c>
      <c r="B26" s="321"/>
      <c r="C26" s="321"/>
      <c r="D26" s="321"/>
      <c r="E26" s="321"/>
      <c r="F26" s="322"/>
      <c r="G26" s="332"/>
      <c r="H26" s="332"/>
      <c r="I26" s="332"/>
    </row>
    <row r="27" spans="1:9" x14ac:dyDescent="0.25">
      <c r="A27" s="333"/>
      <c r="B27" s="334" t="s">
        <v>32</v>
      </c>
      <c r="C27" s="335"/>
      <c r="D27" s="334" t="s">
        <v>19</v>
      </c>
      <c r="E27" s="335"/>
      <c r="F27" s="336" t="s">
        <v>33</v>
      </c>
      <c r="G27" s="332"/>
      <c r="H27" s="332"/>
      <c r="I27" s="332"/>
    </row>
    <row r="28" spans="1:9" x14ac:dyDescent="0.25">
      <c r="A28" s="325" t="s">
        <v>31</v>
      </c>
      <c r="B28" s="326"/>
      <c r="C28" s="326"/>
      <c r="D28" s="326"/>
      <c r="E28" s="326"/>
      <c r="F28" s="327"/>
      <c r="G28" s="332"/>
      <c r="H28" s="332"/>
      <c r="I28" s="332"/>
    </row>
    <row r="29" spans="1:9" x14ac:dyDescent="0.25">
      <c r="A29" s="337" t="s">
        <v>34</v>
      </c>
      <c r="B29" s="326">
        <v>10</v>
      </c>
      <c r="C29" s="326"/>
      <c r="D29" s="326">
        <v>1</v>
      </c>
      <c r="E29" s="326"/>
      <c r="F29" s="327">
        <v>2</v>
      </c>
      <c r="G29" s="332"/>
      <c r="H29" s="332"/>
      <c r="I29" s="332"/>
    </row>
    <row r="30" spans="1:9" x14ac:dyDescent="0.25">
      <c r="A30" s="337">
        <v>2</v>
      </c>
      <c r="B30" s="326">
        <v>10</v>
      </c>
      <c r="C30" s="326"/>
      <c r="D30" s="326">
        <v>1</v>
      </c>
      <c r="E30" s="326"/>
      <c r="F30" s="327">
        <v>2</v>
      </c>
      <c r="G30" s="332"/>
      <c r="H30" s="332"/>
      <c r="I30" s="332"/>
    </row>
    <row r="31" spans="1:9" x14ac:dyDescent="0.25">
      <c r="A31" s="338" t="s">
        <v>36</v>
      </c>
      <c r="B31" s="326">
        <v>10</v>
      </c>
      <c r="C31" s="326"/>
      <c r="D31" s="326">
        <v>1</v>
      </c>
      <c r="E31" s="326"/>
      <c r="F31" s="327">
        <v>2</v>
      </c>
      <c r="G31" s="332"/>
      <c r="H31" s="332"/>
      <c r="I31" s="332"/>
    </row>
    <row r="32" spans="1:9" x14ac:dyDescent="0.25">
      <c r="A32" s="338" t="s">
        <v>37</v>
      </c>
      <c r="B32" s="326">
        <v>10</v>
      </c>
      <c r="C32" s="326"/>
      <c r="D32" s="326">
        <v>2</v>
      </c>
      <c r="E32" s="326"/>
      <c r="F32" s="327">
        <v>3</v>
      </c>
      <c r="G32" s="332"/>
      <c r="H32" s="332"/>
      <c r="I32" s="332"/>
    </row>
    <row r="33" spans="1:9" x14ac:dyDescent="0.25">
      <c r="A33" s="339" t="s">
        <v>35</v>
      </c>
      <c r="B33" s="326">
        <v>10</v>
      </c>
      <c r="C33" s="326"/>
      <c r="D33" s="326">
        <v>2</v>
      </c>
      <c r="E33" s="326"/>
      <c r="F33" s="327">
        <v>4</v>
      </c>
      <c r="G33" s="332"/>
      <c r="H33" s="332"/>
      <c r="I33" s="332"/>
    </row>
    <row r="34" spans="1:9" x14ac:dyDescent="0.25">
      <c r="A34" s="325" t="s">
        <v>38</v>
      </c>
      <c r="B34" s="326">
        <v>10</v>
      </c>
      <c r="C34" s="326"/>
      <c r="D34" s="326">
        <v>2</v>
      </c>
      <c r="E34" s="326"/>
      <c r="F34" s="327">
        <v>5</v>
      </c>
      <c r="G34" s="332"/>
      <c r="H34" s="332"/>
      <c r="I34" s="332"/>
    </row>
    <row r="35" spans="1:9" x14ac:dyDescent="0.25">
      <c r="A35" s="340" t="s">
        <v>39</v>
      </c>
      <c r="B35" s="341">
        <v>10</v>
      </c>
      <c r="C35" s="341"/>
      <c r="D35" s="342">
        <v>2</v>
      </c>
      <c r="E35" s="341"/>
      <c r="F35" s="343">
        <v>6</v>
      </c>
      <c r="G35" s="332"/>
      <c r="H35" s="332"/>
      <c r="I35" s="332"/>
    </row>
    <row r="36" spans="1:9" x14ac:dyDescent="0.25">
      <c r="A36" s="344" t="s">
        <v>40</v>
      </c>
      <c r="B36" s="345">
        <v>10</v>
      </c>
      <c r="C36" s="345"/>
      <c r="D36" s="346">
        <v>2</v>
      </c>
      <c r="E36" s="345"/>
      <c r="F36" s="347">
        <v>7</v>
      </c>
      <c r="G36" s="332"/>
      <c r="H36" s="332"/>
      <c r="I36" s="332"/>
    </row>
    <row r="37" spans="1:9" x14ac:dyDescent="0.25">
      <c r="A37" s="332"/>
      <c r="B37" s="332"/>
      <c r="C37" s="332"/>
      <c r="D37" s="332"/>
      <c r="E37" s="332"/>
      <c r="F37" s="332"/>
      <c r="G37" s="332"/>
      <c r="H37" s="332"/>
      <c r="I37" s="332"/>
    </row>
    <row r="38" spans="1:9" x14ac:dyDescent="0.25">
      <c r="A38" s="332"/>
      <c r="B38" s="332"/>
      <c r="C38" s="332"/>
      <c r="D38" s="332"/>
      <c r="E38" s="332"/>
      <c r="F38" s="332"/>
      <c r="G38" s="332"/>
      <c r="H38" s="332"/>
      <c r="I38" s="332"/>
    </row>
    <row r="39" spans="1:9" x14ac:dyDescent="0.25">
      <c r="A39" s="332"/>
      <c r="B39" s="332"/>
      <c r="C39" s="332"/>
      <c r="D39" s="332"/>
      <c r="E39" s="332"/>
      <c r="F39" s="332"/>
      <c r="G39" s="332"/>
      <c r="H39" s="332"/>
      <c r="I39" s="332"/>
    </row>
    <row r="40" spans="1:9" x14ac:dyDescent="0.25">
      <c r="A40" s="332"/>
      <c r="B40" s="332"/>
      <c r="C40" s="332"/>
      <c r="D40" s="332"/>
      <c r="E40" s="332"/>
      <c r="F40" s="332"/>
      <c r="G40" s="332"/>
      <c r="H40" s="332"/>
      <c r="I40" s="332"/>
    </row>
    <row r="41" spans="1:9" x14ac:dyDescent="0.25">
      <c r="A41" s="332"/>
      <c r="B41" s="332"/>
      <c r="C41" s="332"/>
      <c r="D41" s="332"/>
      <c r="E41" s="332"/>
      <c r="F41" s="332"/>
      <c r="G41" s="332"/>
      <c r="H41" s="332"/>
      <c r="I41" s="332"/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64"/>
      <c r="B47" s="15"/>
      <c r="C47" s="15"/>
      <c r="D47" s="238"/>
      <c r="E47" s="15"/>
      <c r="F47" s="79"/>
      <c r="G47" s="15"/>
      <c r="H47" s="15"/>
      <c r="I47" s="15"/>
    </row>
    <row r="48" spans="1:9" ht="15.75" x14ac:dyDescent="0.25">
      <c r="A48" s="71"/>
      <c r="B48" s="71"/>
      <c r="C48" s="71"/>
      <c r="D48" s="71"/>
      <c r="E48" s="71"/>
      <c r="F48" s="71"/>
      <c r="G48" s="71"/>
      <c r="H48" s="71"/>
      <c r="I48" s="15"/>
    </row>
    <row r="49" spans="1:9" x14ac:dyDescent="0.25">
      <c r="A49" s="242"/>
      <c r="B49" s="242"/>
      <c r="C49" s="242"/>
      <c r="D49" s="242"/>
      <c r="E49" s="242"/>
      <c r="F49" s="242"/>
      <c r="G49" s="242"/>
      <c r="H49" s="242"/>
      <c r="I49" s="15"/>
    </row>
    <row r="50" spans="1:9" x14ac:dyDescent="0.25">
      <c r="A50" s="243"/>
      <c r="B50" s="243"/>
      <c r="C50" s="243"/>
      <c r="D50" s="243"/>
      <c r="E50" s="243"/>
      <c r="F50" s="243"/>
      <c r="G50" s="243"/>
      <c r="H50" s="243"/>
      <c r="I50" s="15"/>
    </row>
    <row r="51" spans="1:9" x14ac:dyDescent="0.25">
      <c r="A51" s="218"/>
      <c r="B51" s="218"/>
      <c r="C51" s="218"/>
      <c r="D51" s="218"/>
      <c r="E51" s="218"/>
      <c r="F51" s="218"/>
      <c r="G51" s="219"/>
      <c r="H51" s="219"/>
      <c r="I51" s="15"/>
    </row>
    <row r="52" spans="1:9" x14ac:dyDescent="0.25">
      <c r="A52" s="218"/>
      <c r="B52" s="218"/>
      <c r="C52" s="218"/>
      <c r="D52" s="218"/>
      <c r="E52" s="218"/>
      <c r="F52" s="218"/>
      <c r="G52" s="219"/>
      <c r="H52" s="219"/>
      <c r="I52" s="15"/>
    </row>
    <row r="53" spans="1:9" x14ac:dyDescent="0.25">
      <c r="A53" s="218"/>
      <c r="B53" s="218"/>
      <c r="C53" s="219"/>
      <c r="D53" s="219"/>
      <c r="E53" s="219"/>
      <c r="F53" s="220"/>
      <c r="G53" s="219"/>
      <c r="H53" s="219"/>
      <c r="I53" s="15"/>
    </row>
    <row r="54" spans="1:9" x14ac:dyDescent="0.25">
      <c r="A54" s="233"/>
      <c r="B54" s="218"/>
      <c r="C54" s="223"/>
      <c r="D54" s="223"/>
      <c r="E54" s="223"/>
      <c r="F54" s="239"/>
      <c r="G54" s="240"/>
      <c r="H54" s="240"/>
      <c r="I54" s="15"/>
    </row>
    <row r="55" spans="1:9" x14ac:dyDescent="0.25">
      <c r="A55" s="218"/>
      <c r="B55" s="218"/>
      <c r="C55" s="223"/>
      <c r="D55" s="223"/>
      <c r="E55" s="223"/>
      <c r="F55" s="239"/>
      <c r="G55" s="223"/>
      <c r="H55" s="223"/>
      <c r="I55" s="15"/>
    </row>
    <row r="56" spans="1:9" x14ac:dyDescent="0.25">
      <c r="A56" s="218"/>
      <c r="B56" s="218"/>
      <c r="C56" s="240"/>
      <c r="D56" s="240"/>
      <c r="E56" s="240"/>
      <c r="F56" s="239"/>
      <c r="G56" s="223"/>
      <c r="H56" s="223"/>
      <c r="I56" s="15"/>
    </row>
    <row r="57" spans="1:9" ht="15.75" x14ac:dyDescent="0.25">
      <c r="A57" s="244"/>
      <c r="B57" s="244"/>
      <c r="C57" s="244"/>
      <c r="D57" s="244"/>
      <c r="E57" s="244"/>
      <c r="F57" s="244"/>
      <c r="G57" s="244"/>
      <c r="H57" s="244"/>
      <c r="I57" s="15"/>
    </row>
    <row r="58" spans="1:9" x14ac:dyDescent="0.25">
      <c r="A58" s="218"/>
      <c r="B58" s="218"/>
      <c r="C58" s="218"/>
      <c r="D58" s="241"/>
      <c r="E58" s="218"/>
      <c r="F58" s="232"/>
      <c r="G58" s="15"/>
      <c r="H58" s="15"/>
      <c r="I58" s="15"/>
    </row>
    <row r="59" spans="1:9" x14ac:dyDescent="0.25">
      <c r="A59" s="233"/>
      <c r="B59" s="218"/>
      <c r="C59" s="218"/>
      <c r="D59" s="219"/>
      <c r="E59" s="233"/>
      <c r="F59" s="219"/>
      <c r="G59" s="15"/>
      <c r="H59" s="15"/>
      <c r="I59" s="15"/>
    </row>
    <row r="60" spans="1:9" x14ac:dyDescent="0.25">
      <c r="A60" s="218"/>
      <c r="B60" s="218"/>
      <c r="C60" s="218"/>
      <c r="D60" s="227"/>
      <c r="E60" s="222"/>
      <c r="F60" s="228"/>
      <c r="G60" s="15"/>
      <c r="H60" s="15"/>
      <c r="I60" s="15"/>
    </row>
    <row r="61" spans="1:9" x14ac:dyDescent="0.25">
      <c r="A61" s="218"/>
      <c r="B61" s="218"/>
      <c r="C61" s="218"/>
      <c r="D61" s="227"/>
      <c r="E61" s="222"/>
      <c r="F61" s="228"/>
      <c r="G61" s="218"/>
      <c r="H61" s="218"/>
      <c r="I61" s="15"/>
    </row>
    <row r="62" spans="1:9" x14ac:dyDescent="0.25">
      <c r="A62" s="230"/>
      <c r="B62" s="218"/>
      <c r="C62" s="218"/>
      <c r="D62" s="231"/>
      <c r="E62" s="218"/>
      <c r="F62" s="232"/>
      <c r="G62" s="218"/>
      <c r="H62" s="218"/>
      <c r="I62" s="15"/>
    </row>
    <row r="63" spans="1:9" x14ac:dyDescent="0.25">
      <c r="A63" s="230"/>
      <c r="B63" s="230"/>
      <c r="C63" s="218"/>
      <c r="D63" s="231"/>
      <c r="E63" s="218"/>
      <c r="F63" s="232"/>
      <c r="G63" s="218"/>
      <c r="H63" s="218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30" customHeight="1" x14ac:dyDescent="0.25">
      <c r="A65" s="245"/>
      <c r="B65" s="245"/>
      <c r="C65" s="245"/>
      <c r="D65" s="245"/>
      <c r="E65" s="245"/>
      <c r="F65" s="245"/>
      <c r="G65" s="245"/>
      <c r="H65" s="24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5">
      <c r="A83" s="15"/>
      <c r="B83" s="15"/>
      <c r="C83" s="15"/>
      <c r="D83" s="15"/>
      <c r="E83" s="15"/>
      <c r="F83" s="15"/>
      <c r="G83" s="15"/>
      <c r="H83" s="15"/>
      <c r="I83" s="15"/>
    </row>
    <row r="84" spans="1:9" x14ac:dyDescent="0.25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25">
      <c r="A85" s="15"/>
      <c r="B85" s="15"/>
      <c r="C85" s="15"/>
      <c r="D85" s="15"/>
      <c r="E85" s="15"/>
      <c r="F85" s="15"/>
      <c r="G85" s="15"/>
      <c r="H85" s="15"/>
      <c r="I85" s="15"/>
    </row>
    <row r="86" spans="1:9" x14ac:dyDescent="0.25">
      <c r="A86" s="15"/>
      <c r="B86" s="15"/>
      <c r="C86" s="15"/>
      <c r="D86" s="15"/>
      <c r="E86" s="15"/>
      <c r="F86" s="15"/>
      <c r="G86" s="15"/>
      <c r="H86" s="15"/>
      <c r="I86" s="15"/>
    </row>
    <row r="87" spans="1:9" x14ac:dyDescent="0.25">
      <c r="A87" s="15"/>
      <c r="B87" s="15"/>
      <c r="C87" s="15"/>
      <c r="D87" s="15"/>
      <c r="E87" s="15"/>
      <c r="F87" s="15"/>
      <c r="G87" s="15"/>
      <c r="H87" s="15"/>
      <c r="I87" s="15"/>
    </row>
    <row r="88" spans="1:9" x14ac:dyDescent="0.25">
      <c r="A88" s="15"/>
      <c r="B88" s="15"/>
      <c r="C88" s="15"/>
      <c r="D88" s="15"/>
      <c r="E88" s="15"/>
      <c r="F88" s="15"/>
      <c r="G88" s="15"/>
      <c r="H88" s="15"/>
      <c r="I88" s="15"/>
    </row>
    <row r="89" spans="1:9" x14ac:dyDescent="0.25">
      <c r="A89" s="15"/>
      <c r="B89" s="15"/>
      <c r="C89" s="15"/>
      <c r="D89" s="15"/>
      <c r="E89" s="15"/>
      <c r="F89" s="15"/>
      <c r="G89" s="15"/>
      <c r="H89" s="15"/>
      <c r="I89" s="15"/>
    </row>
    <row r="90" spans="1:9" x14ac:dyDescent="0.25">
      <c r="A90" s="15"/>
      <c r="B90" s="15"/>
      <c r="C90" s="15"/>
      <c r="D90" s="15"/>
      <c r="E90" s="15"/>
      <c r="F90" s="15"/>
      <c r="G90" s="15"/>
      <c r="H90" s="15"/>
      <c r="I90" s="15"/>
    </row>
    <row r="91" spans="1:9" x14ac:dyDescent="0.25">
      <c r="A91" s="15"/>
      <c r="B91" s="15"/>
      <c r="C91" s="15"/>
      <c r="D91" s="15"/>
      <c r="E91" s="15"/>
      <c r="F91" s="15"/>
      <c r="G91" s="15"/>
      <c r="H91" s="15"/>
      <c r="I91" s="15"/>
    </row>
    <row r="92" spans="1:9" x14ac:dyDescent="0.25">
      <c r="A92" s="15"/>
      <c r="B92" s="15"/>
      <c r="C92" s="15"/>
      <c r="D92" s="15"/>
      <c r="E92" s="15"/>
      <c r="F92" s="15"/>
      <c r="G92" s="15"/>
      <c r="H92" s="15"/>
      <c r="I92" s="15"/>
    </row>
    <row r="93" spans="1:9" x14ac:dyDescent="0.25">
      <c r="A93" s="15"/>
      <c r="B93" s="15"/>
      <c r="C93" s="15"/>
      <c r="D93" s="15"/>
      <c r="E93" s="15"/>
      <c r="F93" s="15"/>
      <c r="G93" s="15"/>
      <c r="H93" s="15"/>
      <c r="I93" s="15"/>
    </row>
    <row r="94" spans="1:9" x14ac:dyDescent="0.25">
      <c r="A94" s="15"/>
      <c r="B94" s="15"/>
      <c r="C94" s="15"/>
      <c r="D94" s="15"/>
      <c r="E94" s="15"/>
      <c r="F94" s="15"/>
      <c r="G94" s="15"/>
      <c r="H94" s="15"/>
      <c r="I94" s="15"/>
    </row>
    <row r="95" spans="1:9" x14ac:dyDescent="0.25">
      <c r="A95" s="15"/>
      <c r="B95" s="15"/>
      <c r="C95" s="15"/>
      <c r="D95" s="15"/>
      <c r="E95" s="15"/>
      <c r="F95" s="15"/>
      <c r="G95" s="15"/>
      <c r="H95" s="15"/>
      <c r="I95" s="15"/>
    </row>
    <row r="96" spans="1:9" x14ac:dyDescent="0.25">
      <c r="A96" s="15"/>
      <c r="B96" s="15"/>
      <c r="C96" s="15"/>
      <c r="D96" s="15"/>
      <c r="E96" s="15"/>
      <c r="F96" s="15"/>
      <c r="G96" s="15"/>
      <c r="H96" s="15"/>
      <c r="I96" s="15"/>
    </row>
    <row r="97" spans="1:9" x14ac:dyDescent="0.25">
      <c r="A97" s="15"/>
      <c r="B97" s="15"/>
      <c r="C97" s="15"/>
      <c r="D97" s="15"/>
      <c r="E97" s="15"/>
      <c r="F97" s="15"/>
      <c r="G97" s="15"/>
      <c r="H97" s="15"/>
      <c r="I97" s="15"/>
    </row>
    <row r="98" spans="1:9" x14ac:dyDescent="0.25">
      <c r="A98" s="15"/>
      <c r="B98" s="15"/>
      <c r="C98" s="15"/>
      <c r="D98" s="15"/>
      <c r="E98" s="15"/>
      <c r="F98" s="15"/>
      <c r="G98" s="15"/>
      <c r="H98" s="15"/>
      <c r="I98" s="15"/>
    </row>
    <row r="99" spans="1:9" x14ac:dyDescent="0.25">
      <c r="A99" s="15"/>
      <c r="B99" s="15"/>
      <c r="C99" s="15"/>
      <c r="D99" s="15"/>
      <c r="E99" s="15"/>
      <c r="F99" s="15"/>
      <c r="G99" s="15"/>
      <c r="H99" s="15"/>
      <c r="I99" s="15"/>
    </row>
    <row r="100" spans="1:9" x14ac:dyDescent="0.25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x14ac:dyDescent="0.25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x14ac:dyDescent="0.25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x14ac:dyDescent="0.25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x14ac:dyDescent="0.25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x14ac:dyDescent="0.25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x14ac:dyDescent="0.25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x14ac:dyDescent="0.25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x14ac:dyDescent="0.25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x14ac:dyDescent="0.25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x14ac:dyDescent="0.25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x14ac:dyDescent="0.25">
      <c r="A111" s="15"/>
      <c r="B111" s="15"/>
      <c r="C111" s="15"/>
      <c r="D111" s="15"/>
      <c r="E111" s="15"/>
      <c r="F111" s="15"/>
      <c r="G111" s="15"/>
      <c r="H111" s="15"/>
      <c r="I111" s="15"/>
    </row>
  </sheetData>
  <mergeCells count="5">
    <mergeCell ref="A1:H1"/>
    <mergeCell ref="A2:H2"/>
    <mergeCell ref="A3:H3"/>
    <mergeCell ref="A4:H4"/>
    <mergeCell ref="B9:E9"/>
  </mergeCells>
  <phoneticPr fontId="11" type="noConversion"/>
  <pageMargins left="0.7" right="0.7" top="1.04" bottom="0.5" header="1.03" footer="0.3"/>
  <pageSetup orientation="portrait" r:id="rId1"/>
  <headerFooter>
    <oddHeader>&amp;R&amp;D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64"/>
  <sheetViews>
    <sheetView topLeftCell="A16" workbookViewId="0">
      <selection activeCell="A40" sqref="A40:H40"/>
    </sheetView>
  </sheetViews>
  <sheetFormatPr defaultRowHeight="15" x14ac:dyDescent="0.25"/>
  <cols>
    <col min="1" max="1" width="18.5703125" bestFit="1" customWidth="1"/>
    <col min="3" max="3" width="9.28515625" bestFit="1" customWidth="1"/>
    <col min="4" max="4" width="9.85546875" customWidth="1"/>
    <col min="5" max="5" width="9.28515625" bestFit="1" customWidth="1"/>
    <col min="7" max="7" width="10.140625" bestFit="1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05" t="s">
        <v>164</v>
      </c>
      <c r="B2" s="1005"/>
      <c r="C2" s="1005"/>
      <c r="D2" s="1005"/>
      <c r="E2" s="1005"/>
      <c r="F2" s="1005"/>
      <c r="G2" s="1005"/>
      <c r="H2" s="1005"/>
    </row>
    <row r="3" spans="1:9" ht="18.75" x14ac:dyDescent="0.3">
      <c r="A3" s="1005" t="s">
        <v>22</v>
      </c>
      <c r="B3" s="1005"/>
      <c r="C3" s="1005"/>
      <c r="D3" s="1005"/>
      <c r="E3" s="1005"/>
      <c r="F3" s="1005"/>
      <c r="G3" s="1005"/>
      <c r="H3" s="1005"/>
    </row>
    <row r="4" spans="1:9" x14ac:dyDescent="0.25">
      <c r="A4" s="1012" t="s">
        <v>23</v>
      </c>
      <c r="B4" s="1012"/>
      <c r="C4" s="1012"/>
      <c r="D4" s="1012"/>
      <c r="E4" s="1012"/>
      <c r="F4" s="1012"/>
      <c r="G4" s="1012"/>
      <c r="H4" s="1012"/>
    </row>
    <row r="5" spans="1:9" x14ac:dyDescent="0.25">
      <c r="A5" s="57"/>
      <c r="B5" s="57"/>
      <c r="C5" s="57"/>
      <c r="D5" s="57"/>
      <c r="E5" s="57"/>
      <c r="F5" s="57"/>
      <c r="G5" s="57"/>
      <c r="H5" s="57"/>
    </row>
    <row r="6" spans="1:9" x14ac:dyDescent="0.25">
      <c r="A6" s="311" t="s">
        <v>174</v>
      </c>
      <c r="B6" s="1007" t="s">
        <v>54</v>
      </c>
      <c r="C6" s="1007"/>
      <c r="D6" s="1007"/>
      <c r="E6" s="1008"/>
      <c r="F6" s="365"/>
      <c r="G6" s="365"/>
      <c r="H6" s="365"/>
      <c r="I6" s="332"/>
    </row>
    <row r="7" spans="1:9" x14ac:dyDescent="0.25">
      <c r="A7" s="313"/>
      <c r="B7" s="334">
        <v>0</v>
      </c>
      <c r="C7" s="334">
        <v>1</v>
      </c>
      <c r="D7" s="356" t="s">
        <v>52</v>
      </c>
      <c r="E7" s="336" t="s">
        <v>53</v>
      </c>
      <c r="F7" s="365"/>
      <c r="G7" s="365"/>
      <c r="H7" s="365"/>
      <c r="I7" s="332"/>
    </row>
    <row r="8" spans="1:9" x14ac:dyDescent="0.25">
      <c r="A8" s="317" t="s">
        <v>164</v>
      </c>
      <c r="B8" s="360">
        <v>15.77</v>
      </c>
      <c r="C8" s="360">
        <v>16.27</v>
      </c>
      <c r="D8" s="360">
        <v>16.77</v>
      </c>
      <c r="E8" s="361">
        <v>16.87</v>
      </c>
      <c r="F8" s="365"/>
      <c r="G8" s="365"/>
      <c r="H8" s="365"/>
      <c r="I8" s="332"/>
    </row>
    <row r="9" spans="1:9" x14ac:dyDescent="0.25">
      <c r="A9" s="332"/>
      <c r="B9" s="332"/>
      <c r="C9" s="332"/>
      <c r="D9" s="332"/>
      <c r="E9" s="332"/>
      <c r="F9" s="332"/>
      <c r="G9" s="332"/>
      <c r="H9" s="332"/>
      <c r="I9" s="332"/>
    </row>
    <row r="10" spans="1:9" x14ac:dyDescent="0.25">
      <c r="A10" s="320" t="s">
        <v>9</v>
      </c>
      <c r="B10" s="321"/>
      <c r="C10" s="321"/>
      <c r="D10" s="321"/>
      <c r="E10" s="321"/>
      <c r="F10" s="321"/>
      <c r="G10" s="321"/>
      <c r="H10" s="322"/>
      <c r="I10" s="332"/>
    </row>
    <row r="11" spans="1:9" x14ac:dyDescent="0.25">
      <c r="A11" s="313"/>
      <c r="B11" s="323"/>
      <c r="C11" s="323"/>
      <c r="D11" s="323"/>
      <c r="E11" s="323"/>
      <c r="F11" s="323"/>
      <c r="G11" s="323"/>
      <c r="H11" s="324"/>
      <c r="I11" s="332"/>
    </row>
    <row r="12" spans="1:9" x14ac:dyDescent="0.25">
      <c r="A12" s="325" t="s">
        <v>10</v>
      </c>
      <c r="B12" s="375" t="s">
        <v>155</v>
      </c>
      <c r="C12" s="375"/>
      <c r="D12" s="375"/>
      <c r="E12" s="375"/>
      <c r="F12" s="375"/>
      <c r="G12" s="375"/>
      <c r="H12" s="327"/>
      <c r="I12" s="332"/>
    </row>
    <row r="13" spans="1:9" x14ac:dyDescent="0.25">
      <c r="A13" s="325" t="s">
        <v>4</v>
      </c>
      <c r="B13" s="326" t="s">
        <v>154</v>
      </c>
      <c r="C13" s="326"/>
      <c r="D13" s="326"/>
      <c r="E13" s="326"/>
      <c r="F13" s="326"/>
      <c r="G13" s="326"/>
      <c r="H13" s="327"/>
      <c r="I13" s="332"/>
    </row>
    <row r="14" spans="1:9" x14ac:dyDescent="0.25">
      <c r="A14" s="325" t="s">
        <v>14</v>
      </c>
      <c r="B14" s="326" t="s">
        <v>42</v>
      </c>
      <c r="C14" s="326"/>
      <c r="D14" s="326"/>
      <c r="E14" s="326"/>
      <c r="F14" s="326"/>
      <c r="G14" s="326"/>
      <c r="H14" s="327"/>
      <c r="I14" s="332"/>
    </row>
    <row r="15" spans="1:9" x14ac:dyDescent="0.25">
      <c r="A15" s="325" t="s">
        <v>60</v>
      </c>
      <c r="B15" s="326" t="s">
        <v>162</v>
      </c>
      <c r="C15" s="326"/>
      <c r="D15" s="326"/>
      <c r="E15" s="326"/>
      <c r="F15" s="326"/>
      <c r="G15" s="326"/>
      <c r="H15" s="327"/>
      <c r="I15" s="332"/>
    </row>
    <row r="16" spans="1:9" x14ac:dyDescent="0.25">
      <c r="A16" s="325" t="s">
        <v>11</v>
      </c>
      <c r="B16" s="326" t="s">
        <v>46</v>
      </c>
      <c r="C16" s="326"/>
      <c r="D16" s="326"/>
      <c r="E16" s="326"/>
      <c r="F16" s="326"/>
      <c r="G16" s="326"/>
      <c r="H16" s="327"/>
      <c r="I16" s="332"/>
    </row>
    <row r="17" spans="1:9" x14ac:dyDescent="0.25">
      <c r="A17" s="325" t="s">
        <v>79</v>
      </c>
      <c r="B17" s="326" t="s">
        <v>113</v>
      </c>
      <c r="C17" s="326"/>
      <c r="D17" s="326"/>
      <c r="E17" s="326"/>
      <c r="F17" s="326"/>
      <c r="G17" s="326"/>
      <c r="H17" s="327"/>
      <c r="I17" s="332"/>
    </row>
    <row r="18" spans="1:9" x14ac:dyDescent="0.25">
      <c r="A18" s="317" t="s">
        <v>13</v>
      </c>
      <c r="B18" s="329" t="s">
        <v>12</v>
      </c>
      <c r="C18" s="329"/>
      <c r="D18" s="329"/>
      <c r="E18" s="329"/>
      <c r="F18" s="329"/>
      <c r="G18" s="329"/>
      <c r="H18" s="330"/>
      <c r="I18" s="332"/>
    </row>
    <row r="19" spans="1:9" hidden="1" x14ac:dyDescent="0.25">
      <c r="A19" s="331"/>
      <c r="B19" s="331"/>
      <c r="C19" s="331"/>
      <c r="D19" s="331"/>
      <c r="E19" s="331"/>
      <c r="F19" s="331"/>
      <c r="G19" s="331"/>
      <c r="H19" s="331"/>
      <c r="I19" s="332"/>
    </row>
    <row r="20" spans="1:9" ht="15.75" hidden="1" customHeight="1" x14ac:dyDescent="0.25">
      <c r="A20" s="331"/>
      <c r="B20" s="331"/>
      <c r="C20" s="331"/>
      <c r="D20" s="331"/>
      <c r="E20" s="331"/>
      <c r="F20" s="331"/>
      <c r="G20" s="331"/>
      <c r="H20" s="331"/>
      <c r="I20" s="332"/>
    </row>
    <row r="21" spans="1:9" x14ac:dyDescent="0.25">
      <c r="A21" s="331"/>
      <c r="B21" s="331"/>
      <c r="C21" s="331"/>
      <c r="D21" s="331"/>
      <c r="E21" s="331"/>
      <c r="F21" s="331"/>
      <c r="G21" s="331"/>
      <c r="H21" s="331"/>
      <c r="I21" s="332"/>
    </row>
    <row r="22" spans="1:9" ht="15.75" thickBot="1" x14ac:dyDescent="0.3">
      <c r="A22" s="376" t="s">
        <v>11</v>
      </c>
      <c r="B22" s="377"/>
      <c r="C22" s="377" t="s">
        <v>24</v>
      </c>
      <c r="D22" s="377"/>
      <c r="E22" s="377" t="s">
        <v>25</v>
      </c>
      <c r="F22" s="377"/>
      <c r="G22" s="378" t="s">
        <v>26</v>
      </c>
      <c r="H22" s="331"/>
      <c r="I22" s="332"/>
    </row>
    <row r="23" spans="1:9" x14ac:dyDescent="0.25">
      <c r="A23" s="325"/>
      <c r="B23" s="326"/>
      <c r="C23" s="326"/>
      <c r="D23" s="326"/>
      <c r="E23" s="326"/>
      <c r="F23" s="326"/>
      <c r="G23" s="327"/>
      <c r="H23" s="331"/>
      <c r="I23" s="332"/>
    </row>
    <row r="24" spans="1:9" x14ac:dyDescent="0.25">
      <c r="A24" s="379" t="s">
        <v>3</v>
      </c>
      <c r="B24" s="380"/>
      <c r="C24" s="381">
        <f>G24/24</f>
        <v>52.16</v>
      </c>
      <c r="D24" s="381"/>
      <c r="E24" s="381">
        <f>G24/12</f>
        <v>104.32</v>
      </c>
      <c r="F24" s="381"/>
      <c r="G24" s="382">
        <v>1251.8399999999999</v>
      </c>
      <c r="H24" s="331"/>
      <c r="I24" s="332"/>
    </row>
    <row r="25" spans="1:9" x14ac:dyDescent="0.25">
      <c r="A25" s="325"/>
      <c r="B25" s="326"/>
      <c r="C25" s="366"/>
      <c r="D25" s="366"/>
      <c r="E25" s="366"/>
      <c r="F25" s="366"/>
      <c r="G25" s="367"/>
      <c r="H25" s="331"/>
      <c r="I25" s="332"/>
    </row>
    <row r="26" spans="1:9" x14ac:dyDescent="0.25">
      <c r="A26" s="383" t="s">
        <v>2</v>
      </c>
      <c r="B26" s="384"/>
      <c r="C26" s="385">
        <f>G26/24</f>
        <v>20.150000000000002</v>
      </c>
      <c r="D26" s="385"/>
      <c r="E26" s="385">
        <f>G26/12</f>
        <v>40.300000000000004</v>
      </c>
      <c r="F26" s="385"/>
      <c r="G26" s="386">
        <v>483.6</v>
      </c>
      <c r="H26" s="331"/>
      <c r="I26" s="332"/>
    </row>
    <row r="27" spans="1:9" x14ac:dyDescent="0.25">
      <c r="A27" s="331"/>
      <c r="B27" s="331"/>
      <c r="C27" s="331"/>
      <c r="D27" s="331"/>
      <c r="E27" s="331"/>
      <c r="F27" s="331"/>
      <c r="G27" s="331"/>
      <c r="H27" s="331"/>
      <c r="I27" s="332"/>
    </row>
    <row r="28" spans="1:9" ht="27" x14ac:dyDescent="0.25">
      <c r="A28" s="1016"/>
      <c r="B28" s="1016" t="s">
        <v>90</v>
      </c>
      <c r="C28" s="1017" t="s">
        <v>91</v>
      </c>
      <c r="D28" s="387" t="s">
        <v>92</v>
      </c>
      <c r="E28" s="1018" t="s">
        <v>93</v>
      </c>
      <c r="F28" s="323"/>
      <c r="G28" s="323"/>
      <c r="H28" s="332"/>
      <c r="I28" s="332"/>
    </row>
    <row r="29" spans="1:9" ht="27" x14ac:dyDescent="0.25">
      <c r="A29" s="1016"/>
      <c r="B29" s="1016"/>
      <c r="C29" s="1017"/>
      <c r="D29" s="388" t="s">
        <v>91</v>
      </c>
      <c r="E29" s="1018"/>
      <c r="F29" s="323"/>
      <c r="G29" s="323"/>
      <c r="H29" s="332"/>
      <c r="I29" s="332"/>
    </row>
    <row r="30" spans="1:9" x14ac:dyDescent="0.25">
      <c r="A30" s="389" t="s">
        <v>94</v>
      </c>
      <c r="B30" s="390">
        <v>1</v>
      </c>
      <c r="C30" s="390">
        <v>12</v>
      </c>
      <c r="D30" s="390">
        <v>12</v>
      </c>
      <c r="E30" s="390">
        <v>0</v>
      </c>
      <c r="F30" s="326"/>
      <c r="G30" s="323"/>
      <c r="H30" s="332"/>
      <c r="I30" s="332"/>
    </row>
    <row r="31" spans="1:9" x14ac:dyDescent="0.25">
      <c r="A31" s="389" t="s">
        <v>95</v>
      </c>
      <c r="B31" s="390">
        <v>1</v>
      </c>
      <c r="C31" s="390">
        <v>12</v>
      </c>
      <c r="D31" s="390">
        <v>12</v>
      </c>
      <c r="E31" s="390">
        <v>5</v>
      </c>
      <c r="F31" s="326"/>
      <c r="G31" s="323"/>
      <c r="H31" s="332"/>
      <c r="I31" s="332"/>
    </row>
    <row r="32" spans="1:9" x14ac:dyDescent="0.25">
      <c r="A32" s="389" t="s">
        <v>96</v>
      </c>
      <c r="B32" s="390">
        <v>1</v>
      </c>
      <c r="C32" s="390">
        <v>12</v>
      </c>
      <c r="D32" s="390">
        <v>24</v>
      </c>
      <c r="E32" s="390">
        <v>10</v>
      </c>
      <c r="F32" s="326"/>
      <c r="G32" s="323"/>
      <c r="H32" s="332"/>
      <c r="I32" s="332"/>
    </row>
    <row r="33" spans="1:9" x14ac:dyDescent="0.25">
      <c r="A33" s="389" t="s">
        <v>97</v>
      </c>
      <c r="B33" s="390">
        <v>1</v>
      </c>
      <c r="C33" s="390">
        <v>12</v>
      </c>
      <c r="D33" s="390">
        <v>60</v>
      </c>
      <c r="E33" s="390">
        <v>12</v>
      </c>
      <c r="F33" s="326"/>
      <c r="G33" s="323"/>
      <c r="H33" s="332"/>
      <c r="I33" s="332"/>
    </row>
    <row r="34" spans="1:9" x14ac:dyDescent="0.25">
      <c r="A34" s="389" t="s">
        <v>98</v>
      </c>
      <c r="B34" s="390">
        <v>1</v>
      </c>
      <c r="C34" s="390">
        <v>12</v>
      </c>
      <c r="D34" s="390">
        <v>84</v>
      </c>
      <c r="E34" s="390">
        <v>15</v>
      </c>
      <c r="F34" s="326"/>
      <c r="G34" s="323"/>
      <c r="H34" s="332"/>
      <c r="I34" s="332"/>
    </row>
    <row r="35" spans="1:9" x14ac:dyDescent="0.25">
      <c r="A35" s="389" t="s">
        <v>99</v>
      </c>
      <c r="B35" s="390">
        <v>2</v>
      </c>
      <c r="C35" s="390">
        <v>12</v>
      </c>
      <c r="D35" s="390">
        <v>96</v>
      </c>
      <c r="E35" s="390">
        <v>15</v>
      </c>
      <c r="F35" s="326"/>
      <c r="G35" s="323"/>
      <c r="H35" s="332"/>
      <c r="I35" s="332"/>
    </row>
    <row r="36" spans="1:9" x14ac:dyDescent="0.25">
      <c r="A36" s="389" t="s">
        <v>100</v>
      </c>
      <c r="B36" s="390">
        <v>2</v>
      </c>
      <c r="C36" s="390">
        <v>12</v>
      </c>
      <c r="D36" s="390">
        <v>120</v>
      </c>
      <c r="E36" s="390">
        <v>17</v>
      </c>
      <c r="F36" s="326"/>
      <c r="G36" s="326"/>
      <c r="H36" s="323"/>
      <c r="I36" s="332"/>
    </row>
    <row r="37" spans="1:9" x14ac:dyDescent="0.25">
      <c r="A37" s="391"/>
      <c r="B37" s="326"/>
      <c r="C37" s="323"/>
      <c r="D37" s="326"/>
      <c r="E37" s="326"/>
      <c r="F37" s="326"/>
      <c r="G37" s="326"/>
      <c r="H37" s="323"/>
      <c r="I37" s="332"/>
    </row>
    <row r="38" spans="1:9" x14ac:dyDescent="0.25">
      <c r="A38" s="341"/>
      <c r="B38" s="341"/>
      <c r="C38" s="341"/>
      <c r="D38" s="342"/>
      <c r="E38" s="341"/>
      <c r="F38" s="341"/>
      <c r="G38" s="341"/>
      <c r="H38" s="341"/>
      <c r="I38" s="332"/>
    </row>
    <row r="39" spans="1:9" x14ac:dyDescent="0.25">
      <c r="A39" s="392" t="s">
        <v>51</v>
      </c>
      <c r="B39" s="393"/>
      <c r="C39" s="393"/>
      <c r="D39" s="394"/>
      <c r="E39" s="393"/>
      <c r="F39" s="393"/>
      <c r="G39" s="393"/>
      <c r="H39" s="395"/>
      <c r="I39" s="332"/>
    </row>
    <row r="40" spans="1:9" ht="48.75" customHeight="1" x14ac:dyDescent="0.25">
      <c r="A40" s="1013" t="s">
        <v>89</v>
      </c>
      <c r="B40" s="1014"/>
      <c r="C40" s="1014"/>
      <c r="D40" s="1014"/>
      <c r="E40" s="1014"/>
      <c r="F40" s="1014"/>
      <c r="G40" s="1014"/>
      <c r="H40" s="1015"/>
      <c r="I40" s="332"/>
    </row>
    <row r="41" spans="1:9" ht="25.5" customHeight="1" x14ac:dyDescent="0.25">
      <c r="A41" s="396"/>
      <c r="B41" s="396"/>
      <c r="C41" s="396"/>
      <c r="D41" s="396"/>
      <c r="E41" s="396"/>
      <c r="F41" s="396"/>
      <c r="G41" s="396"/>
      <c r="H41" s="396"/>
      <c r="I41" s="332"/>
    </row>
    <row r="42" spans="1:9" x14ac:dyDescent="0.25">
      <c r="A42" s="341"/>
      <c r="B42" s="341"/>
      <c r="C42" s="341"/>
      <c r="D42" s="342"/>
      <c r="E42" s="341"/>
      <c r="F42" s="341"/>
      <c r="G42" s="341"/>
      <c r="H42" s="341"/>
      <c r="I42" s="332"/>
    </row>
    <row r="43" spans="1:9" x14ac:dyDescent="0.25">
      <c r="A43" s="397"/>
      <c r="B43" s="341"/>
      <c r="C43" s="341"/>
      <c r="D43" s="342"/>
      <c r="E43" s="341"/>
      <c r="F43" s="341"/>
      <c r="G43" s="341"/>
      <c r="H43" s="341"/>
      <c r="I43" s="332"/>
    </row>
    <row r="44" spans="1:9" x14ac:dyDescent="0.25">
      <c r="A44" s="398"/>
      <c r="B44" s="398"/>
      <c r="C44" s="398"/>
      <c r="D44" s="398"/>
      <c r="E44" s="398"/>
      <c r="F44" s="398"/>
      <c r="G44" s="398"/>
      <c r="H44" s="398"/>
      <c r="I44" s="332"/>
    </row>
    <row r="45" spans="1:9" x14ac:dyDescent="0.25">
      <c r="A45" s="341"/>
      <c r="B45" s="341"/>
      <c r="C45" s="341"/>
      <c r="D45" s="341"/>
      <c r="E45" s="341"/>
      <c r="F45" s="399"/>
      <c r="G45" s="400"/>
      <c r="H45" s="323"/>
      <c r="I45" s="332"/>
    </row>
    <row r="46" spans="1:9" x14ac:dyDescent="0.25">
      <c r="A46" s="401"/>
      <c r="B46" s="401"/>
      <c r="C46" s="401"/>
      <c r="D46" s="401"/>
      <c r="E46" s="401"/>
      <c r="F46" s="401"/>
      <c r="G46" s="401"/>
      <c r="H46" s="401"/>
      <c r="I46" s="332"/>
    </row>
    <row r="47" spans="1:9" x14ac:dyDescent="0.25">
      <c r="A47" s="401"/>
      <c r="B47" s="401"/>
      <c r="C47" s="401"/>
      <c r="D47" s="401"/>
      <c r="E47" s="401"/>
      <c r="F47" s="401"/>
      <c r="G47" s="401"/>
      <c r="H47" s="401"/>
      <c r="I47" s="332"/>
    </row>
    <row r="48" spans="1:9" x14ac:dyDescent="0.25">
      <c r="A48" s="214"/>
      <c r="B48" s="214"/>
      <c r="C48" s="214"/>
      <c r="D48" s="214"/>
      <c r="E48" s="214"/>
      <c r="F48" s="214"/>
      <c r="G48" s="214"/>
      <c r="H48" s="214"/>
    </row>
    <row r="49" spans="1:8" x14ac:dyDescent="0.25">
      <c r="A49" s="214"/>
      <c r="B49" s="214"/>
      <c r="C49" s="214"/>
      <c r="D49" s="214"/>
      <c r="E49" s="214"/>
      <c r="F49" s="214"/>
      <c r="G49" s="214"/>
      <c r="H49" s="214"/>
    </row>
    <row r="50" spans="1:8" x14ac:dyDescent="0.25">
      <c r="A50" s="214"/>
      <c r="B50" s="214"/>
      <c r="C50" s="214"/>
      <c r="D50" s="214"/>
      <c r="E50" s="214"/>
      <c r="F50" s="214"/>
      <c r="G50" s="214"/>
      <c r="H50" s="214"/>
    </row>
    <row r="51" spans="1:8" x14ac:dyDescent="0.25">
      <c r="A51" s="214"/>
      <c r="B51" s="214"/>
      <c r="C51" s="214"/>
      <c r="D51" s="214"/>
      <c r="E51" s="214"/>
      <c r="F51" s="214"/>
      <c r="G51" s="214"/>
      <c r="H51" s="214"/>
    </row>
    <row r="52" spans="1:8" ht="29.25" customHeight="1" x14ac:dyDescent="0.25">
      <c r="A52" s="214"/>
      <c r="B52" s="214"/>
      <c r="C52" s="214"/>
      <c r="D52" s="214"/>
      <c r="E52" s="214"/>
      <c r="F52" s="214"/>
      <c r="G52" s="214"/>
      <c r="H52" s="214"/>
    </row>
    <row r="53" spans="1:8" x14ac:dyDescent="0.25">
      <c r="A53" s="214"/>
      <c r="B53" s="214"/>
      <c r="C53" s="214"/>
      <c r="D53" s="214"/>
      <c r="E53" s="214"/>
      <c r="F53" s="214"/>
      <c r="G53" s="214"/>
      <c r="H53" s="214"/>
    </row>
    <row r="54" spans="1:8" x14ac:dyDescent="0.25">
      <c r="A54" s="214"/>
      <c r="B54" s="214"/>
      <c r="C54" s="214"/>
      <c r="D54" s="214"/>
      <c r="E54" s="214"/>
      <c r="F54" s="214"/>
      <c r="G54" s="214"/>
      <c r="H54" s="214"/>
    </row>
    <row r="55" spans="1:8" x14ac:dyDescent="0.25">
      <c r="A55" s="214"/>
      <c r="B55" s="214"/>
      <c r="C55" s="214"/>
      <c r="D55" s="214"/>
      <c r="E55" s="214"/>
      <c r="F55" s="214"/>
      <c r="G55" s="214"/>
      <c r="H55" s="214"/>
    </row>
    <row r="56" spans="1:8" x14ac:dyDescent="0.25">
      <c r="A56" s="214"/>
      <c r="B56" s="214"/>
      <c r="C56" s="214"/>
      <c r="D56" s="214"/>
      <c r="E56" s="214"/>
      <c r="F56" s="214"/>
      <c r="G56" s="214"/>
      <c r="H56" s="214"/>
    </row>
    <row r="57" spans="1:8" x14ac:dyDescent="0.25">
      <c r="A57" s="214"/>
      <c r="B57" s="214"/>
      <c r="C57" s="214"/>
      <c r="D57" s="214"/>
      <c r="E57" s="214"/>
      <c r="F57" s="214"/>
      <c r="G57" s="214"/>
      <c r="H57" s="214"/>
    </row>
    <row r="58" spans="1:8" x14ac:dyDescent="0.25">
      <c r="A58" s="214"/>
      <c r="B58" s="214"/>
      <c r="C58" s="214"/>
      <c r="D58" s="214"/>
      <c r="E58" s="214"/>
      <c r="F58" s="214"/>
      <c r="G58" s="214"/>
      <c r="H58" s="214"/>
    </row>
    <row r="59" spans="1:8" x14ac:dyDescent="0.25">
      <c r="A59" s="214"/>
      <c r="B59" s="214"/>
      <c r="C59" s="214"/>
      <c r="D59" s="214"/>
      <c r="E59" s="214"/>
      <c r="F59" s="214"/>
      <c r="G59" s="214"/>
      <c r="H59" s="214"/>
    </row>
    <row r="60" spans="1:8" x14ac:dyDescent="0.25">
      <c r="A60" s="214"/>
      <c r="B60" s="214"/>
      <c r="C60" s="214"/>
      <c r="D60" s="214"/>
      <c r="E60" s="214"/>
      <c r="F60" s="214"/>
      <c r="G60" s="214"/>
      <c r="H60" s="214"/>
    </row>
    <row r="61" spans="1:8" x14ac:dyDescent="0.25">
      <c r="A61" s="214"/>
      <c r="B61" s="214"/>
      <c r="C61" s="214"/>
      <c r="D61" s="214"/>
      <c r="E61" s="214"/>
      <c r="F61" s="214"/>
      <c r="G61" s="214"/>
      <c r="H61" s="214"/>
    </row>
    <row r="62" spans="1:8" x14ac:dyDescent="0.25">
      <c r="A62" s="214"/>
      <c r="B62" s="214"/>
      <c r="C62" s="214"/>
      <c r="D62" s="214"/>
      <c r="E62" s="214"/>
      <c r="F62" s="214"/>
      <c r="G62" s="214"/>
      <c r="H62" s="214"/>
    </row>
    <row r="63" spans="1:8" x14ac:dyDescent="0.25">
      <c r="A63" s="214"/>
      <c r="B63" s="214"/>
      <c r="C63" s="214"/>
      <c r="D63" s="214"/>
      <c r="E63" s="214"/>
      <c r="F63" s="214"/>
      <c r="G63" s="214"/>
      <c r="H63" s="214"/>
    </row>
    <row r="64" spans="1:8" x14ac:dyDescent="0.25">
      <c r="A64" s="214"/>
      <c r="B64" s="214"/>
      <c r="C64" s="214"/>
      <c r="D64" s="214"/>
      <c r="E64" s="214"/>
      <c r="F64" s="214"/>
      <c r="G64" s="214"/>
      <c r="H64" s="214"/>
    </row>
  </sheetData>
  <mergeCells count="10">
    <mergeCell ref="A4:H4"/>
    <mergeCell ref="A1:H1"/>
    <mergeCell ref="A2:H2"/>
    <mergeCell ref="A3:H3"/>
    <mergeCell ref="A40:H40"/>
    <mergeCell ref="B6:E6"/>
    <mergeCell ref="A28:A29"/>
    <mergeCell ref="B28:B29"/>
    <mergeCell ref="C28:C29"/>
    <mergeCell ref="E28:E29"/>
  </mergeCells>
  <phoneticPr fontId="11" type="noConversion"/>
  <pageMargins left="0.7" right="0.7" top="0.75" bottom="0.75" header="0.3" footer="0.3"/>
  <pageSetup orientation="portrait" r:id="rId1"/>
  <headerFooter>
    <oddHeader>&amp;R&amp;D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74"/>
  <sheetViews>
    <sheetView topLeftCell="A36" workbookViewId="0">
      <selection activeCell="I45" sqref="I45"/>
    </sheetView>
  </sheetViews>
  <sheetFormatPr defaultRowHeight="15" x14ac:dyDescent="0.25"/>
  <cols>
    <col min="1" max="1" width="18.140625" bestFit="1" customWidth="1"/>
    <col min="2" max="2" width="21" customWidth="1"/>
    <col min="7" max="7" width="12.5703125" customWidth="1"/>
  </cols>
  <sheetData>
    <row r="1" spans="1:8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8" ht="18.75" x14ac:dyDescent="0.3">
      <c r="A2" s="1005" t="s">
        <v>164</v>
      </c>
      <c r="B2" s="1005"/>
      <c r="C2" s="1005"/>
      <c r="D2" s="1005"/>
      <c r="E2" s="1005"/>
      <c r="F2" s="1005"/>
      <c r="G2" s="1005"/>
      <c r="H2" s="1005"/>
    </row>
    <row r="3" spans="1:8" ht="18.75" x14ac:dyDescent="0.3">
      <c r="A3" s="1005" t="s">
        <v>66</v>
      </c>
      <c r="B3" s="1005"/>
      <c r="C3" s="1005"/>
      <c r="D3" s="1005"/>
      <c r="E3" s="1005"/>
      <c r="F3" s="1005"/>
      <c r="G3" s="1005"/>
      <c r="H3" s="1005"/>
    </row>
    <row r="4" spans="1:8" x14ac:dyDescent="0.25">
      <c r="A4" s="716" t="s">
        <v>43</v>
      </c>
      <c r="B4" s="1012"/>
      <c r="C4" s="1012"/>
      <c r="D4" s="1012"/>
      <c r="E4" s="1012"/>
      <c r="F4" s="1012"/>
      <c r="G4" s="1012"/>
      <c r="H4" s="1012"/>
    </row>
    <row r="5" spans="1:8" x14ac:dyDescent="0.25">
      <c r="A5" s="402"/>
      <c r="B5" s="402"/>
      <c r="C5" s="1019" t="s">
        <v>71</v>
      </c>
      <c r="D5" s="1019"/>
      <c r="E5" s="1019" t="s">
        <v>73</v>
      </c>
      <c r="F5" s="1019"/>
      <c r="G5" s="365"/>
      <c r="H5" s="365"/>
    </row>
    <row r="6" spans="1:8" x14ac:dyDescent="0.25">
      <c r="A6" s="1020" t="s">
        <v>67</v>
      </c>
      <c r="B6" s="1020"/>
      <c r="C6" s="1021">
        <v>95000</v>
      </c>
      <c r="D6" s="1021"/>
      <c r="E6" s="1019" t="s">
        <v>80</v>
      </c>
      <c r="F6" s="1019"/>
      <c r="G6" s="332"/>
      <c r="H6" s="332"/>
    </row>
    <row r="7" spans="1:8" x14ac:dyDescent="0.25">
      <c r="A7" s="1020" t="s">
        <v>68</v>
      </c>
      <c r="B7" s="1020"/>
      <c r="C7" s="1021">
        <v>100169.64</v>
      </c>
      <c r="D7" s="1021"/>
      <c r="E7" s="1019" t="s">
        <v>80</v>
      </c>
      <c r="F7" s="1019"/>
      <c r="G7" s="332"/>
      <c r="H7" s="332"/>
    </row>
    <row r="8" spans="1:8" x14ac:dyDescent="0.25">
      <c r="A8" s="1020" t="s">
        <v>69</v>
      </c>
      <c r="B8" s="1020"/>
      <c r="C8" s="1021">
        <v>102642.83</v>
      </c>
      <c r="D8" s="1021"/>
      <c r="E8" s="1019" t="s">
        <v>80</v>
      </c>
      <c r="F8" s="1019"/>
      <c r="G8" s="332"/>
      <c r="H8" s="332"/>
    </row>
    <row r="9" spans="1:8" x14ac:dyDescent="0.25">
      <c r="A9" s="1020" t="s">
        <v>70</v>
      </c>
      <c r="B9" s="1020"/>
      <c r="C9" s="1021">
        <v>82814.399999999994</v>
      </c>
      <c r="D9" s="1021"/>
      <c r="E9" s="1019" t="s">
        <v>80</v>
      </c>
      <c r="F9" s="1019"/>
      <c r="G9" s="332"/>
      <c r="H9" s="332"/>
    </row>
    <row r="10" spans="1:8" x14ac:dyDescent="0.25">
      <c r="A10" s="403" t="s">
        <v>103</v>
      </c>
      <c r="B10" s="403"/>
      <c r="C10" s="1021">
        <v>86057.45</v>
      </c>
      <c r="D10" s="1021"/>
      <c r="E10" s="1019" t="s">
        <v>80</v>
      </c>
      <c r="F10" s="1019"/>
      <c r="G10" s="332"/>
      <c r="H10" s="332"/>
    </row>
    <row r="11" spans="1:8" x14ac:dyDescent="0.25">
      <c r="A11" s="403" t="s">
        <v>170</v>
      </c>
      <c r="B11" s="403"/>
      <c r="C11" s="1021">
        <v>65000</v>
      </c>
      <c r="D11" s="1021"/>
      <c r="E11" s="1019" t="s">
        <v>171</v>
      </c>
      <c r="F11" s="1019"/>
      <c r="G11" s="332"/>
      <c r="H11" s="332"/>
    </row>
    <row r="12" spans="1:8" x14ac:dyDescent="0.25">
      <c r="A12" s="332"/>
      <c r="B12" s="332"/>
      <c r="C12" s="332"/>
      <c r="D12" s="332"/>
      <c r="E12" s="332"/>
      <c r="F12" s="332"/>
      <c r="G12" s="332"/>
      <c r="H12" s="332"/>
    </row>
    <row r="13" spans="1:8" x14ac:dyDescent="0.25">
      <c r="A13" s="320" t="s">
        <v>9</v>
      </c>
      <c r="B13" s="321"/>
      <c r="C13" s="321"/>
      <c r="D13" s="321"/>
      <c r="E13" s="321"/>
      <c r="F13" s="321"/>
      <c r="G13" s="322"/>
      <c r="H13" s="323"/>
    </row>
    <row r="14" spans="1:8" x14ac:dyDescent="0.25">
      <c r="A14" s="325" t="s">
        <v>10</v>
      </c>
      <c r="B14" s="375" t="s">
        <v>155</v>
      </c>
      <c r="C14" s="375"/>
      <c r="D14" s="375"/>
      <c r="E14" s="326"/>
      <c r="F14" s="326"/>
      <c r="G14" s="327"/>
      <c r="H14" s="326"/>
    </row>
    <row r="15" spans="1:8" x14ac:dyDescent="0.25">
      <c r="A15" s="325" t="s">
        <v>4</v>
      </c>
      <c r="B15" s="326" t="s">
        <v>154</v>
      </c>
      <c r="C15" s="326"/>
      <c r="D15" s="326"/>
      <c r="E15" s="326"/>
      <c r="F15" s="326"/>
      <c r="G15" s="327"/>
      <c r="H15" s="326"/>
    </row>
    <row r="16" spans="1:8" x14ac:dyDescent="0.25">
      <c r="A16" s="325" t="s">
        <v>14</v>
      </c>
      <c r="B16" s="326" t="s">
        <v>44</v>
      </c>
      <c r="C16" s="326"/>
      <c r="D16" s="326"/>
      <c r="E16" s="326"/>
      <c r="F16" s="326"/>
      <c r="G16" s="327"/>
      <c r="H16" s="326"/>
    </row>
    <row r="17" spans="1:8" x14ac:dyDescent="0.25">
      <c r="A17" s="325" t="s">
        <v>45</v>
      </c>
      <c r="B17" s="326" t="s">
        <v>162</v>
      </c>
      <c r="C17" s="375"/>
      <c r="D17" s="375"/>
      <c r="E17" s="326"/>
      <c r="F17" s="326"/>
      <c r="G17" s="327"/>
      <c r="H17" s="326"/>
    </row>
    <row r="18" spans="1:8" x14ac:dyDescent="0.25">
      <c r="A18" s="325" t="s">
        <v>11</v>
      </c>
      <c r="B18" s="326" t="s">
        <v>46</v>
      </c>
      <c r="C18" s="326"/>
      <c r="D18" s="326"/>
      <c r="E18" s="326"/>
      <c r="F18" s="326"/>
      <c r="G18" s="327"/>
      <c r="H18" s="326"/>
    </row>
    <row r="19" spans="1:8" x14ac:dyDescent="0.25">
      <c r="A19" s="404" t="s">
        <v>79</v>
      </c>
      <c r="B19" s="328" t="s">
        <v>114</v>
      </c>
      <c r="C19" s="328"/>
      <c r="D19" s="328"/>
      <c r="E19" s="326"/>
      <c r="F19" s="326"/>
      <c r="G19" s="327"/>
      <c r="H19" s="326"/>
    </row>
    <row r="20" spans="1:8" x14ac:dyDescent="0.25">
      <c r="A20" s="317" t="s">
        <v>13</v>
      </c>
      <c r="B20" s="329" t="s">
        <v>41</v>
      </c>
      <c r="C20" s="329"/>
      <c r="D20" s="329"/>
      <c r="E20" s="329"/>
      <c r="F20" s="329"/>
      <c r="G20" s="330"/>
      <c r="H20" s="326"/>
    </row>
    <row r="21" spans="1:8" x14ac:dyDescent="0.25">
      <c r="A21" s="331"/>
      <c r="B21" s="331"/>
      <c r="C21" s="331"/>
      <c r="D21" s="331"/>
      <c r="E21" s="331"/>
      <c r="F21" s="331"/>
      <c r="G21" s="331"/>
      <c r="H21" s="331"/>
    </row>
    <row r="22" spans="1:8" ht="15.75" thickBot="1" x14ac:dyDescent="0.3">
      <c r="A22" s="376" t="s">
        <v>11</v>
      </c>
      <c r="B22" s="377"/>
      <c r="C22" s="377" t="s">
        <v>24</v>
      </c>
      <c r="D22" s="377"/>
      <c r="E22" s="377" t="s">
        <v>25</v>
      </c>
      <c r="F22" s="377"/>
      <c r="G22" s="378" t="s">
        <v>26</v>
      </c>
      <c r="H22" s="331"/>
    </row>
    <row r="23" spans="1:8" x14ac:dyDescent="0.25">
      <c r="A23" s="325"/>
      <c r="B23" s="326"/>
      <c r="C23" s="326"/>
      <c r="D23" s="326"/>
      <c r="E23" s="326"/>
      <c r="F23" s="326"/>
      <c r="G23" s="327"/>
      <c r="H23" s="331"/>
    </row>
    <row r="24" spans="1:8" x14ac:dyDescent="0.25">
      <c r="A24" s="379" t="s">
        <v>3</v>
      </c>
      <c r="B24" s="380"/>
      <c r="C24" s="381">
        <f>G24/24</f>
        <v>52.16</v>
      </c>
      <c r="D24" s="381"/>
      <c r="E24" s="381">
        <f>G24/12</f>
        <v>104.32</v>
      </c>
      <c r="F24" s="381"/>
      <c r="G24" s="382">
        <v>1251.8399999999999</v>
      </c>
      <c r="H24" s="331"/>
    </row>
    <row r="25" spans="1:8" x14ac:dyDescent="0.25">
      <c r="A25" s="325"/>
      <c r="B25" s="326"/>
      <c r="C25" s="381"/>
      <c r="D25" s="366"/>
      <c r="E25" s="381"/>
      <c r="F25" s="366"/>
      <c r="G25" s="367"/>
      <c r="H25" s="331"/>
    </row>
    <row r="26" spans="1:8" x14ac:dyDescent="0.25">
      <c r="A26" s="383" t="s">
        <v>2</v>
      </c>
      <c r="B26" s="384"/>
      <c r="C26" s="385">
        <f>G26/24</f>
        <v>20.150000000000002</v>
      </c>
      <c r="D26" s="385"/>
      <c r="E26" s="385">
        <f>G26/12</f>
        <v>40.300000000000004</v>
      </c>
      <c r="F26" s="385"/>
      <c r="G26" s="386">
        <v>483.6</v>
      </c>
      <c r="H26" s="331"/>
    </row>
    <row r="27" spans="1:8" x14ac:dyDescent="0.25">
      <c r="A27" s="331"/>
      <c r="B27" s="331"/>
      <c r="C27" s="331"/>
      <c r="D27" s="331"/>
      <c r="E27" s="331"/>
      <c r="F27" s="331"/>
      <c r="G27" s="331"/>
      <c r="H27" s="331"/>
    </row>
    <row r="28" spans="1:8" ht="15.75" thickBot="1" x14ac:dyDescent="0.3">
      <c r="A28" s="405" t="s">
        <v>128</v>
      </c>
      <c r="B28" s="406"/>
      <c r="C28" s="406" t="s">
        <v>24</v>
      </c>
      <c r="D28" s="406"/>
      <c r="E28" s="406" t="s">
        <v>25</v>
      </c>
      <c r="F28" s="406"/>
      <c r="G28" s="407" t="s">
        <v>26</v>
      </c>
      <c r="H28" s="331"/>
    </row>
    <row r="29" spans="1:8" x14ac:dyDescent="0.25">
      <c r="A29" s="1027" t="s">
        <v>148</v>
      </c>
      <c r="B29" s="1028"/>
      <c r="C29" s="1028"/>
      <c r="D29" s="1028"/>
      <c r="E29" s="1028"/>
      <c r="F29" s="1028"/>
      <c r="G29" s="1029"/>
      <c r="H29" s="326"/>
    </row>
    <row r="30" spans="1:8" x14ac:dyDescent="0.25">
      <c r="A30" s="408"/>
      <c r="B30" s="409"/>
      <c r="C30" s="409"/>
      <c r="D30" s="409"/>
      <c r="E30" s="409"/>
      <c r="F30" s="328"/>
      <c r="G30" s="410"/>
      <c r="H30" s="326"/>
    </row>
    <row r="31" spans="1:8" x14ac:dyDescent="0.25">
      <c r="A31" s="408" t="s">
        <v>124</v>
      </c>
      <c r="B31" s="409"/>
      <c r="C31" s="411">
        <f>E31/2</f>
        <v>2.52</v>
      </c>
      <c r="D31" s="409"/>
      <c r="E31" s="411">
        <v>5.04</v>
      </c>
      <c r="F31" s="328"/>
      <c r="G31" s="412">
        <f>E31*12</f>
        <v>60.480000000000004</v>
      </c>
      <c r="H31" s="326"/>
    </row>
    <row r="32" spans="1:8" x14ac:dyDescent="0.25">
      <c r="A32" s="408" t="s">
        <v>125</v>
      </c>
      <c r="B32" s="409"/>
      <c r="C32" s="411">
        <f>E32/2</f>
        <v>4.54</v>
      </c>
      <c r="D32" s="409"/>
      <c r="E32" s="411">
        <v>9.08</v>
      </c>
      <c r="F32" s="328"/>
      <c r="G32" s="412">
        <f>E32*12</f>
        <v>108.96000000000001</v>
      </c>
      <c r="H32" s="326"/>
    </row>
    <row r="33" spans="1:8" x14ac:dyDescent="0.25">
      <c r="A33" s="408" t="s">
        <v>126</v>
      </c>
      <c r="B33" s="409"/>
      <c r="C33" s="411">
        <v>4.78</v>
      </c>
      <c r="D33" s="409"/>
      <c r="E33" s="411">
        <v>9.57</v>
      </c>
      <c r="F33" s="328"/>
      <c r="G33" s="412">
        <f>E33*12</f>
        <v>114.84</v>
      </c>
      <c r="H33" s="326"/>
    </row>
    <row r="34" spans="1:8" x14ac:dyDescent="0.25">
      <c r="A34" s="413" t="s">
        <v>127</v>
      </c>
      <c r="B34" s="414"/>
      <c r="C34" s="415">
        <f>E34/2</f>
        <v>7.5650000000000004</v>
      </c>
      <c r="D34" s="414"/>
      <c r="E34" s="415">
        <v>15.13</v>
      </c>
      <c r="F34" s="416"/>
      <c r="G34" s="417">
        <f>E34*12</f>
        <v>181.56</v>
      </c>
      <c r="H34" s="326"/>
    </row>
    <row r="35" spans="1:8" x14ac:dyDescent="0.25">
      <c r="A35" s="418"/>
      <c r="B35" s="418"/>
      <c r="C35" s="419"/>
      <c r="D35" s="419"/>
      <c r="E35" s="419"/>
      <c r="F35" s="419"/>
      <c r="G35" s="419"/>
      <c r="H35" s="332"/>
    </row>
    <row r="36" spans="1:8" x14ac:dyDescent="0.25">
      <c r="A36" s="420" t="s">
        <v>77</v>
      </c>
      <c r="B36" s="421" t="s">
        <v>74</v>
      </c>
      <c r="C36" s="1025" t="s">
        <v>75</v>
      </c>
      <c r="D36" s="1025"/>
      <c r="E36" s="422"/>
      <c r="F36" s="422"/>
      <c r="G36" s="423"/>
      <c r="H36" s="332"/>
    </row>
    <row r="37" spans="1:8" x14ac:dyDescent="0.25">
      <c r="A37" s="424"/>
      <c r="B37" s="425" t="s">
        <v>104</v>
      </c>
      <c r="C37" s="1026" t="s">
        <v>76</v>
      </c>
      <c r="D37" s="1026"/>
      <c r="E37" s="426"/>
      <c r="F37" s="426"/>
      <c r="G37" s="427"/>
      <c r="H37" s="332"/>
    </row>
    <row r="38" spans="1:8" x14ac:dyDescent="0.25">
      <c r="A38" s="418"/>
      <c r="B38" s="418"/>
      <c r="C38" s="419"/>
      <c r="D38" s="419"/>
      <c r="E38" s="419"/>
      <c r="F38" s="419"/>
      <c r="G38" s="419"/>
      <c r="H38" s="332"/>
    </row>
    <row r="39" spans="1:8" x14ac:dyDescent="0.25">
      <c r="A39" s="1022" t="s">
        <v>81</v>
      </c>
      <c r="B39" s="1023"/>
      <c r="C39" s="1024" t="s">
        <v>82</v>
      </c>
      <c r="D39" s="1024"/>
      <c r="E39" s="428"/>
      <c r="F39" s="428"/>
      <c r="G39" s="429"/>
      <c r="H39" s="332"/>
    </row>
    <row r="40" spans="1:8" x14ac:dyDescent="0.25">
      <c r="A40" s="430"/>
      <c r="B40" s="431"/>
      <c r="C40" s="419"/>
      <c r="D40" s="419"/>
      <c r="E40" s="419"/>
      <c r="F40" s="419"/>
      <c r="G40" s="419"/>
      <c r="H40" s="332"/>
    </row>
    <row r="41" spans="1:8" x14ac:dyDescent="0.25">
      <c r="A41" s="311" t="s">
        <v>16</v>
      </c>
      <c r="B41" s="432"/>
      <c r="C41" s="432"/>
      <c r="D41" s="432"/>
      <c r="E41" s="432"/>
      <c r="F41" s="432"/>
      <c r="G41" s="433"/>
      <c r="H41" s="332"/>
    </row>
    <row r="42" spans="1:8" x14ac:dyDescent="0.25">
      <c r="A42" s="325"/>
      <c r="B42" s="434" t="s">
        <v>29</v>
      </c>
      <c r="C42" s="326"/>
      <c r="D42" s="435" t="s">
        <v>47</v>
      </c>
      <c r="E42" s="326"/>
      <c r="F42" s="326"/>
      <c r="G42" s="327"/>
      <c r="H42" s="332"/>
    </row>
    <row r="43" spans="1:8" x14ac:dyDescent="0.25">
      <c r="A43" s="325" t="s">
        <v>18</v>
      </c>
      <c r="B43" s="436">
        <v>15</v>
      </c>
      <c r="C43" s="375"/>
      <c r="D43" s="437" t="s">
        <v>72</v>
      </c>
      <c r="E43" s="326"/>
      <c r="F43" s="326"/>
      <c r="G43" s="327"/>
      <c r="H43" s="332"/>
    </row>
    <row r="44" spans="1:8" x14ac:dyDescent="0.25">
      <c r="A44" s="317" t="s">
        <v>19</v>
      </c>
      <c r="B44" s="438" t="s">
        <v>78</v>
      </c>
      <c r="C44" s="439"/>
      <c r="D44" s="440" t="s">
        <v>49</v>
      </c>
      <c r="E44" s="329"/>
      <c r="F44" s="329"/>
      <c r="G44" s="330"/>
      <c r="H44" s="332"/>
    </row>
    <row r="45" spans="1:8" x14ac:dyDescent="0.25">
      <c r="A45" s="441"/>
      <c r="B45" s="441"/>
      <c r="C45" s="441"/>
      <c r="D45" s="441"/>
      <c r="E45" s="441"/>
      <c r="F45" s="441"/>
      <c r="G45" s="441"/>
      <c r="H45" s="441"/>
    </row>
    <row r="46" spans="1:8" x14ac:dyDescent="0.25">
      <c r="A46" s="441"/>
      <c r="B46" s="441"/>
      <c r="C46" s="441"/>
      <c r="D46" s="441"/>
      <c r="E46" s="441"/>
      <c r="F46" s="441"/>
      <c r="G46" s="441"/>
      <c r="H46" s="441"/>
    </row>
    <row r="47" spans="1:8" x14ac:dyDescent="0.25">
      <c r="A47" s="441"/>
      <c r="B47" s="441"/>
      <c r="C47" s="441"/>
      <c r="D47" s="441"/>
      <c r="E47" s="441"/>
      <c r="F47" s="441"/>
      <c r="G47" s="441"/>
      <c r="H47" s="441"/>
    </row>
    <row r="48" spans="1:8" x14ac:dyDescent="0.25">
      <c r="A48" s="441"/>
      <c r="B48" s="441"/>
      <c r="C48" s="441"/>
      <c r="D48" s="441"/>
      <c r="E48" s="441"/>
      <c r="F48" s="441"/>
      <c r="G48" s="441"/>
      <c r="H48" s="441"/>
    </row>
    <row r="49" spans="1:15" x14ac:dyDescent="0.25">
      <c r="A49" s="441"/>
      <c r="B49" s="441"/>
      <c r="C49" s="441"/>
      <c r="D49" s="441"/>
      <c r="E49" s="441"/>
      <c r="F49" s="441"/>
      <c r="G49" s="441"/>
      <c r="H49" s="441"/>
    </row>
    <row r="50" spans="1:15" x14ac:dyDescent="0.25">
      <c r="A50" s="441"/>
      <c r="B50" s="441"/>
      <c r="C50" s="441"/>
      <c r="D50" s="441"/>
      <c r="E50" s="441"/>
      <c r="F50" s="441"/>
      <c r="G50" s="441"/>
      <c r="H50" s="441"/>
    </row>
    <row r="51" spans="1:15" x14ac:dyDescent="0.25">
      <c r="A51" s="441"/>
      <c r="B51" s="441"/>
      <c r="C51" s="441"/>
      <c r="D51" s="441"/>
      <c r="E51" s="441"/>
      <c r="F51" s="441"/>
      <c r="G51" s="441"/>
      <c r="H51" s="441"/>
    </row>
    <row r="52" spans="1:15" x14ac:dyDescent="0.25">
      <c r="A52" s="441"/>
      <c r="B52" s="441"/>
      <c r="C52" s="441"/>
      <c r="D52" s="441"/>
      <c r="E52" s="441"/>
      <c r="F52" s="441"/>
      <c r="G52" s="441"/>
      <c r="H52" s="441"/>
    </row>
    <row r="53" spans="1:15" x14ac:dyDescent="0.25">
      <c r="A53" s="441"/>
      <c r="B53" s="441"/>
      <c r="C53" s="441"/>
      <c r="D53" s="441"/>
      <c r="E53" s="441"/>
      <c r="F53" s="441"/>
      <c r="G53" s="441"/>
      <c r="H53" s="441"/>
    </row>
    <row r="54" spans="1:15" x14ac:dyDescent="0.25">
      <c r="A54" s="441"/>
      <c r="B54" s="441"/>
      <c r="C54" s="441"/>
      <c r="D54" s="441"/>
      <c r="E54" s="441"/>
      <c r="F54" s="441"/>
      <c r="G54" s="441"/>
      <c r="H54" s="441"/>
    </row>
    <row r="55" spans="1:15" x14ac:dyDescent="0.25">
      <c r="A55" s="256"/>
      <c r="B55" s="256"/>
      <c r="C55" s="256"/>
      <c r="D55" s="256"/>
      <c r="E55" s="256"/>
      <c r="F55" s="256"/>
      <c r="G55" s="256"/>
    </row>
    <row r="56" spans="1:15" x14ac:dyDescent="0.25">
      <c r="A56" s="256"/>
      <c r="B56" s="256"/>
      <c r="C56" s="256"/>
      <c r="D56" s="256"/>
      <c r="E56" s="256"/>
      <c r="F56" s="256"/>
      <c r="G56" s="256"/>
    </row>
    <row r="57" spans="1:15" x14ac:dyDescent="0.25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</row>
    <row r="58" spans="1:15" x14ac:dyDescent="0.2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</row>
    <row r="59" spans="1:15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</row>
    <row r="60" spans="1:15" x14ac:dyDescent="0.25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</row>
    <row r="61" spans="1:15" x14ac:dyDescent="0.2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</row>
    <row r="62" spans="1:15" x14ac:dyDescent="0.25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</row>
    <row r="63" spans="1:15" x14ac:dyDescent="0.25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</row>
    <row r="64" spans="1:15" x14ac:dyDescent="0.25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</row>
    <row r="65" spans="1:15" x14ac:dyDescent="0.25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</row>
    <row r="66" spans="1:15" x14ac:dyDescent="0.25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</row>
    <row r="67" spans="1:15" x14ac:dyDescent="0.25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</row>
    <row r="68" spans="1:15" x14ac:dyDescent="0.25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</row>
    <row r="69" spans="1:15" x14ac:dyDescent="0.25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</row>
    <row r="70" spans="1:15" x14ac:dyDescent="0.25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</row>
    <row r="71" spans="1:15" x14ac:dyDescent="0.25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</row>
    <row r="72" spans="1:15" x14ac:dyDescent="0.25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</row>
    <row r="73" spans="1:15" x14ac:dyDescent="0.25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</row>
    <row r="74" spans="1:15" x14ac:dyDescent="0.25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</row>
    <row r="75" spans="1:15" x14ac:dyDescent="0.25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</row>
    <row r="76" spans="1:15" x14ac:dyDescent="0.25">
      <c r="A76" s="216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</row>
    <row r="77" spans="1:15" x14ac:dyDescent="0.25">
      <c r="A77" s="216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</row>
    <row r="78" spans="1:15" x14ac:dyDescent="0.25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</row>
    <row r="79" spans="1:15" x14ac:dyDescent="0.25">
      <c r="A79" s="216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</row>
    <row r="80" spans="1:15" x14ac:dyDescent="0.25">
      <c r="A80" s="216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</row>
    <row r="81" spans="1:15" x14ac:dyDescent="0.25">
      <c r="A81" s="216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</row>
    <row r="82" spans="1:15" x14ac:dyDescent="0.25">
      <c r="A82" s="216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</row>
    <row r="83" spans="1:15" x14ac:dyDescent="0.25">
      <c r="A83" s="216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</row>
    <row r="84" spans="1:15" x14ac:dyDescent="0.25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</row>
    <row r="85" spans="1:15" x14ac:dyDescent="0.25">
      <c r="A85" s="216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</row>
    <row r="86" spans="1:15" x14ac:dyDescent="0.25">
      <c r="A86" s="216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</row>
    <row r="87" spans="1:15" x14ac:dyDescent="0.25">
      <c r="A87" s="216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1:15" x14ac:dyDescent="0.25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</row>
    <row r="89" spans="1:15" x14ac:dyDescent="0.25">
      <c r="A89" s="216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</row>
    <row r="90" spans="1:15" x14ac:dyDescent="0.25">
      <c r="A90" s="216"/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</row>
    <row r="91" spans="1:15" x14ac:dyDescent="0.25">
      <c r="A91" s="256"/>
      <c r="B91" s="256"/>
      <c r="C91" s="256"/>
      <c r="D91" s="256"/>
      <c r="E91" s="256"/>
      <c r="F91" s="256"/>
      <c r="G91" s="256"/>
    </row>
    <row r="92" spans="1:15" x14ac:dyDescent="0.25">
      <c r="A92" s="256"/>
      <c r="B92" s="256"/>
      <c r="C92" s="256"/>
      <c r="D92" s="256"/>
      <c r="E92" s="256"/>
      <c r="F92" s="256"/>
      <c r="G92" s="256"/>
    </row>
    <row r="93" spans="1:15" x14ac:dyDescent="0.25">
      <c r="A93" s="256"/>
      <c r="B93" s="256"/>
      <c r="C93" s="256"/>
      <c r="D93" s="256"/>
      <c r="E93" s="256"/>
      <c r="F93" s="256"/>
      <c r="G93" s="256"/>
    </row>
    <row r="94" spans="1:15" x14ac:dyDescent="0.25">
      <c r="A94" s="256"/>
      <c r="B94" s="256"/>
      <c r="C94" s="256"/>
      <c r="D94" s="256"/>
      <c r="E94" s="256"/>
      <c r="F94" s="256"/>
      <c r="G94" s="256"/>
    </row>
    <row r="95" spans="1:15" x14ac:dyDescent="0.25">
      <c r="A95" s="256"/>
      <c r="B95" s="256"/>
      <c r="C95" s="256"/>
      <c r="D95" s="256"/>
      <c r="E95" s="256"/>
      <c r="F95" s="256"/>
      <c r="G95" s="256"/>
    </row>
    <row r="96" spans="1:15" x14ac:dyDescent="0.25">
      <c r="A96" s="256"/>
      <c r="B96" s="256"/>
      <c r="C96" s="256"/>
      <c r="D96" s="256"/>
      <c r="E96" s="256"/>
      <c r="F96" s="256"/>
      <c r="G96" s="256"/>
    </row>
    <row r="97" spans="1:7" x14ac:dyDescent="0.25">
      <c r="A97" s="256"/>
      <c r="B97" s="256"/>
      <c r="C97" s="256"/>
      <c r="D97" s="256"/>
      <c r="E97" s="256"/>
      <c r="F97" s="256"/>
      <c r="G97" s="256"/>
    </row>
    <row r="98" spans="1:7" x14ac:dyDescent="0.25">
      <c r="A98" s="256"/>
      <c r="B98" s="256"/>
      <c r="C98" s="256"/>
      <c r="D98" s="256"/>
      <c r="E98" s="256"/>
      <c r="F98" s="256"/>
      <c r="G98" s="256"/>
    </row>
    <row r="99" spans="1:7" x14ac:dyDescent="0.25">
      <c r="A99" s="256"/>
      <c r="B99" s="256"/>
      <c r="C99" s="256"/>
      <c r="D99" s="256"/>
      <c r="E99" s="256"/>
      <c r="F99" s="256"/>
      <c r="G99" s="256"/>
    </row>
    <row r="100" spans="1:7" x14ac:dyDescent="0.25">
      <c r="A100" s="256"/>
      <c r="B100" s="256"/>
      <c r="C100" s="256"/>
      <c r="D100" s="256"/>
      <c r="E100" s="256"/>
      <c r="F100" s="256"/>
      <c r="G100" s="256"/>
    </row>
    <row r="101" spans="1:7" x14ac:dyDescent="0.25">
      <c r="A101" s="256"/>
      <c r="B101" s="256"/>
      <c r="C101" s="256"/>
      <c r="D101" s="256"/>
      <c r="E101" s="256"/>
      <c r="F101" s="256"/>
      <c r="G101" s="256"/>
    </row>
    <row r="102" spans="1:7" x14ac:dyDescent="0.25">
      <c r="A102" s="256"/>
      <c r="B102" s="256"/>
      <c r="C102" s="256"/>
      <c r="D102" s="256"/>
      <c r="E102" s="256"/>
      <c r="F102" s="256"/>
      <c r="G102" s="256"/>
    </row>
    <row r="103" spans="1:7" x14ac:dyDescent="0.25">
      <c r="A103" s="256"/>
      <c r="B103" s="256"/>
      <c r="C103" s="256"/>
      <c r="D103" s="256"/>
      <c r="E103" s="256"/>
      <c r="F103" s="256"/>
      <c r="G103" s="256"/>
    </row>
    <row r="104" spans="1:7" x14ac:dyDescent="0.25">
      <c r="A104" s="256"/>
      <c r="B104" s="256"/>
      <c r="C104" s="256"/>
      <c r="D104" s="256"/>
      <c r="E104" s="256"/>
      <c r="F104" s="256"/>
      <c r="G104" s="256"/>
    </row>
    <row r="105" spans="1:7" x14ac:dyDescent="0.25">
      <c r="A105" s="256"/>
      <c r="B105" s="256"/>
      <c r="C105" s="256"/>
      <c r="D105" s="256"/>
      <c r="E105" s="256"/>
      <c r="F105" s="256"/>
      <c r="G105" s="256"/>
    </row>
    <row r="106" spans="1:7" x14ac:dyDescent="0.25">
      <c r="A106" s="256"/>
      <c r="B106" s="256"/>
      <c r="C106" s="256"/>
      <c r="D106" s="256"/>
      <c r="E106" s="256"/>
      <c r="F106" s="256"/>
      <c r="G106" s="256"/>
    </row>
    <row r="107" spans="1:7" x14ac:dyDescent="0.25">
      <c r="A107" s="256"/>
      <c r="B107" s="256"/>
      <c r="C107" s="256"/>
      <c r="D107" s="256"/>
      <c r="E107" s="256"/>
      <c r="F107" s="256"/>
      <c r="G107" s="256"/>
    </row>
    <row r="108" spans="1:7" x14ac:dyDescent="0.25">
      <c r="A108" s="256"/>
      <c r="B108" s="256"/>
      <c r="C108" s="256"/>
      <c r="D108" s="256"/>
      <c r="E108" s="256"/>
      <c r="F108" s="256"/>
      <c r="G108" s="256"/>
    </row>
    <row r="109" spans="1:7" x14ac:dyDescent="0.25">
      <c r="A109" s="256"/>
      <c r="B109" s="256"/>
      <c r="C109" s="256"/>
      <c r="D109" s="256"/>
      <c r="E109" s="256"/>
      <c r="F109" s="256"/>
      <c r="G109" s="256"/>
    </row>
    <row r="110" spans="1:7" x14ac:dyDescent="0.25">
      <c r="A110" s="256"/>
      <c r="B110" s="256"/>
      <c r="C110" s="256"/>
      <c r="D110" s="256"/>
      <c r="E110" s="256"/>
      <c r="F110" s="256"/>
      <c r="G110" s="256"/>
    </row>
    <row r="111" spans="1:7" x14ac:dyDescent="0.25">
      <c r="A111" s="256"/>
      <c r="B111" s="256"/>
      <c r="C111" s="256"/>
      <c r="D111" s="256"/>
      <c r="E111" s="256"/>
      <c r="F111" s="256"/>
      <c r="G111" s="256"/>
    </row>
    <row r="112" spans="1:7" x14ac:dyDescent="0.25">
      <c r="A112" s="256"/>
      <c r="B112" s="256"/>
      <c r="C112" s="256"/>
      <c r="D112" s="256"/>
      <c r="E112" s="256"/>
      <c r="F112" s="256"/>
      <c r="G112" s="256"/>
    </row>
    <row r="113" spans="1:7" x14ac:dyDescent="0.25">
      <c r="A113" s="256"/>
      <c r="B113" s="256"/>
      <c r="C113" s="256"/>
      <c r="D113" s="256"/>
      <c r="E113" s="256"/>
      <c r="F113" s="256"/>
      <c r="G113" s="256"/>
    </row>
    <row r="114" spans="1:7" x14ac:dyDescent="0.25">
      <c r="A114" s="256"/>
      <c r="B114" s="256"/>
      <c r="C114" s="256"/>
      <c r="D114" s="256"/>
      <c r="E114" s="256"/>
      <c r="F114" s="256"/>
      <c r="G114" s="256"/>
    </row>
    <row r="115" spans="1:7" x14ac:dyDescent="0.25">
      <c r="A115" s="256"/>
      <c r="B115" s="256"/>
      <c r="C115" s="256"/>
      <c r="D115" s="256"/>
      <c r="E115" s="256"/>
      <c r="F115" s="256"/>
      <c r="G115" s="256"/>
    </row>
    <row r="116" spans="1:7" x14ac:dyDescent="0.25">
      <c r="A116" s="256"/>
      <c r="B116" s="256"/>
      <c r="C116" s="256"/>
      <c r="D116" s="256"/>
      <c r="E116" s="256"/>
      <c r="F116" s="256"/>
      <c r="G116" s="256"/>
    </row>
    <row r="117" spans="1:7" x14ac:dyDescent="0.25">
      <c r="A117" s="256"/>
      <c r="B117" s="256"/>
      <c r="C117" s="256"/>
      <c r="D117" s="256"/>
      <c r="E117" s="256"/>
      <c r="F117" s="256"/>
      <c r="G117" s="256"/>
    </row>
    <row r="118" spans="1:7" x14ac:dyDescent="0.25">
      <c r="A118" s="256"/>
      <c r="B118" s="256"/>
      <c r="C118" s="256"/>
      <c r="D118" s="256"/>
      <c r="E118" s="256"/>
      <c r="F118" s="256"/>
      <c r="G118" s="256"/>
    </row>
    <row r="119" spans="1:7" x14ac:dyDescent="0.25">
      <c r="A119" s="256"/>
      <c r="B119" s="256"/>
      <c r="C119" s="256"/>
      <c r="D119" s="256"/>
      <c r="E119" s="256"/>
      <c r="F119" s="256"/>
      <c r="G119" s="256"/>
    </row>
    <row r="120" spans="1:7" x14ac:dyDescent="0.25">
      <c r="A120" s="256"/>
      <c r="B120" s="256"/>
      <c r="C120" s="256"/>
      <c r="D120" s="256"/>
      <c r="E120" s="256"/>
      <c r="F120" s="256"/>
      <c r="G120" s="256"/>
    </row>
    <row r="121" spans="1:7" x14ac:dyDescent="0.25">
      <c r="A121" s="256"/>
      <c r="B121" s="256"/>
      <c r="C121" s="256"/>
      <c r="D121" s="256"/>
      <c r="E121" s="256"/>
      <c r="F121" s="256"/>
      <c r="G121" s="256"/>
    </row>
    <row r="122" spans="1:7" x14ac:dyDescent="0.25">
      <c r="A122" s="256"/>
      <c r="B122" s="256"/>
      <c r="C122" s="256"/>
      <c r="D122" s="256"/>
      <c r="E122" s="256"/>
      <c r="F122" s="256"/>
      <c r="G122" s="256"/>
    </row>
    <row r="123" spans="1:7" x14ac:dyDescent="0.25">
      <c r="A123" s="256"/>
      <c r="B123" s="256"/>
      <c r="C123" s="256"/>
      <c r="D123" s="256"/>
      <c r="E123" s="256"/>
      <c r="F123" s="256"/>
      <c r="G123" s="256"/>
    </row>
    <row r="124" spans="1:7" x14ac:dyDescent="0.25">
      <c r="A124" s="256"/>
      <c r="B124" s="256"/>
      <c r="C124" s="256"/>
      <c r="D124" s="256"/>
      <c r="E124" s="256"/>
      <c r="F124" s="256"/>
      <c r="G124" s="256"/>
    </row>
    <row r="125" spans="1:7" x14ac:dyDescent="0.25">
      <c r="A125" s="256"/>
      <c r="B125" s="256"/>
      <c r="C125" s="256"/>
      <c r="D125" s="256"/>
      <c r="E125" s="256"/>
      <c r="F125" s="256"/>
      <c r="G125" s="256"/>
    </row>
    <row r="126" spans="1:7" x14ac:dyDescent="0.25">
      <c r="A126" s="256"/>
      <c r="B126" s="256"/>
      <c r="C126" s="256"/>
      <c r="D126" s="256"/>
      <c r="E126" s="256"/>
      <c r="F126" s="256"/>
      <c r="G126" s="256"/>
    </row>
    <row r="127" spans="1:7" x14ac:dyDescent="0.25">
      <c r="A127" s="256"/>
      <c r="B127" s="256"/>
      <c r="C127" s="256"/>
      <c r="D127" s="256"/>
      <c r="E127" s="256"/>
      <c r="F127" s="256"/>
      <c r="G127" s="256"/>
    </row>
    <row r="128" spans="1:7" x14ac:dyDescent="0.25">
      <c r="A128" s="256"/>
      <c r="B128" s="256"/>
      <c r="C128" s="256"/>
      <c r="D128" s="256"/>
      <c r="E128" s="256"/>
      <c r="F128" s="256"/>
      <c r="G128" s="256"/>
    </row>
    <row r="129" spans="1:7" x14ac:dyDescent="0.25">
      <c r="A129" s="256"/>
      <c r="B129" s="256"/>
      <c r="C129" s="256"/>
      <c r="D129" s="256"/>
      <c r="E129" s="256"/>
      <c r="F129" s="256"/>
      <c r="G129" s="256"/>
    </row>
    <row r="130" spans="1:7" x14ac:dyDescent="0.25">
      <c r="A130" s="256"/>
      <c r="B130" s="256"/>
      <c r="C130" s="256"/>
      <c r="D130" s="256"/>
      <c r="E130" s="256"/>
      <c r="F130" s="256"/>
      <c r="G130" s="256"/>
    </row>
    <row r="131" spans="1:7" x14ac:dyDescent="0.25">
      <c r="A131" s="256"/>
      <c r="B131" s="256"/>
      <c r="C131" s="256"/>
      <c r="D131" s="256"/>
      <c r="E131" s="256"/>
      <c r="F131" s="256"/>
      <c r="G131" s="256"/>
    </row>
    <row r="132" spans="1:7" x14ac:dyDescent="0.25">
      <c r="A132" s="256"/>
      <c r="B132" s="256"/>
      <c r="C132" s="256"/>
      <c r="D132" s="256"/>
      <c r="E132" s="256"/>
      <c r="F132" s="256"/>
      <c r="G132" s="256"/>
    </row>
    <row r="133" spans="1:7" x14ac:dyDescent="0.25">
      <c r="A133" s="256"/>
      <c r="B133" s="256"/>
      <c r="C133" s="256"/>
      <c r="D133" s="256"/>
      <c r="E133" s="256"/>
      <c r="F133" s="256"/>
      <c r="G133" s="256"/>
    </row>
    <row r="134" spans="1:7" x14ac:dyDescent="0.25">
      <c r="A134" s="256"/>
      <c r="B134" s="256"/>
      <c r="C134" s="256"/>
      <c r="D134" s="256"/>
      <c r="E134" s="256"/>
      <c r="F134" s="256"/>
      <c r="G134" s="256"/>
    </row>
    <row r="135" spans="1:7" x14ac:dyDescent="0.25">
      <c r="A135" s="256"/>
      <c r="B135" s="256"/>
      <c r="C135" s="256"/>
      <c r="D135" s="256"/>
      <c r="E135" s="256"/>
      <c r="F135" s="256"/>
      <c r="G135" s="256"/>
    </row>
    <row r="136" spans="1:7" x14ac:dyDescent="0.25">
      <c r="A136" s="256"/>
      <c r="B136" s="256"/>
      <c r="C136" s="256"/>
      <c r="D136" s="256"/>
      <c r="E136" s="256"/>
      <c r="F136" s="256"/>
      <c r="G136" s="256"/>
    </row>
    <row r="137" spans="1:7" x14ac:dyDescent="0.25">
      <c r="A137" s="256"/>
      <c r="B137" s="256"/>
      <c r="C137" s="256"/>
      <c r="D137" s="256"/>
      <c r="E137" s="256"/>
      <c r="F137" s="256"/>
      <c r="G137" s="256"/>
    </row>
    <row r="138" spans="1:7" x14ac:dyDescent="0.25">
      <c r="A138" s="256"/>
      <c r="B138" s="256"/>
      <c r="C138" s="256"/>
      <c r="D138" s="256"/>
      <c r="E138" s="256"/>
      <c r="F138" s="256"/>
      <c r="G138" s="256"/>
    </row>
    <row r="139" spans="1:7" x14ac:dyDescent="0.25">
      <c r="A139" s="256"/>
      <c r="B139" s="256"/>
      <c r="C139" s="256"/>
      <c r="D139" s="256"/>
      <c r="E139" s="256"/>
      <c r="F139" s="256"/>
      <c r="G139" s="256"/>
    </row>
    <row r="140" spans="1:7" x14ac:dyDescent="0.25">
      <c r="A140" s="256"/>
      <c r="B140" s="256"/>
      <c r="C140" s="256"/>
      <c r="D140" s="256"/>
      <c r="E140" s="256"/>
      <c r="F140" s="256"/>
      <c r="G140" s="256"/>
    </row>
    <row r="141" spans="1:7" x14ac:dyDescent="0.25">
      <c r="A141" s="256"/>
      <c r="B141" s="256"/>
      <c r="C141" s="256"/>
      <c r="D141" s="256"/>
      <c r="E141" s="256"/>
      <c r="F141" s="256"/>
      <c r="G141" s="256"/>
    </row>
    <row r="142" spans="1:7" x14ac:dyDescent="0.25">
      <c r="A142" s="256"/>
      <c r="B142" s="256"/>
      <c r="C142" s="256"/>
      <c r="D142" s="256"/>
      <c r="E142" s="256"/>
      <c r="F142" s="256"/>
      <c r="G142" s="256"/>
    </row>
    <row r="143" spans="1:7" x14ac:dyDescent="0.25">
      <c r="A143" s="256"/>
      <c r="B143" s="256"/>
      <c r="C143" s="256"/>
      <c r="D143" s="256"/>
      <c r="E143" s="256"/>
      <c r="F143" s="256"/>
      <c r="G143" s="256"/>
    </row>
    <row r="144" spans="1:7" x14ac:dyDescent="0.25">
      <c r="A144" s="256"/>
      <c r="B144" s="256"/>
      <c r="C144" s="256"/>
      <c r="D144" s="256"/>
      <c r="E144" s="256"/>
      <c r="F144" s="256"/>
      <c r="G144" s="256"/>
    </row>
    <row r="145" spans="1:7" x14ac:dyDescent="0.25">
      <c r="A145" s="256"/>
      <c r="B145" s="256"/>
      <c r="C145" s="256"/>
      <c r="D145" s="256"/>
      <c r="E145" s="256"/>
      <c r="F145" s="256"/>
      <c r="G145" s="256"/>
    </row>
    <row r="146" spans="1:7" x14ac:dyDescent="0.25">
      <c r="A146" s="256"/>
      <c r="B146" s="256"/>
      <c r="C146" s="256"/>
      <c r="D146" s="256"/>
      <c r="E146" s="256"/>
      <c r="F146" s="256"/>
      <c r="G146" s="256"/>
    </row>
    <row r="147" spans="1:7" x14ac:dyDescent="0.25">
      <c r="A147" s="256"/>
      <c r="B147" s="256"/>
      <c r="C147" s="256"/>
      <c r="D147" s="256"/>
      <c r="E147" s="256"/>
      <c r="F147" s="256"/>
      <c r="G147" s="256"/>
    </row>
    <row r="148" spans="1:7" x14ac:dyDescent="0.25">
      <c r="A148" s="256"/>
      <c r="B148" s="256"/>
      <c r="C148" s="256"/>
      <c r="D148" s="256"/>
      <c r="E148" s="256"/>
      <c r="F148" s="256"/>
      <c r="G148" s="256"/>
    </row>
    <row r="149" spans="1:7" x14ac:dyDescent="0.25">
      <c r="A149" s="256"/>
      <c r="B149" s="256"/>
      <c r="C149" s="256"/>
      <c r="D149" s="256"/>
      <c r="E149" s="256"/>
      <c r="F149" s="256"/>
      <c r="G149" s="256"/>
    </row>
    <row r="150" spans="1:7" x14ac:dyDescent="0.25">
      <c r="A150" s="256"/>
      <c r="B150" s="256"/>
      <c r="C150" s="256"/>
      <c r="D150" s="256"/>
      <c r="E150" s="256"/>
      <c r="F150" s="256"/>
      <c r="G150" s="256"/>
    </row>
    <row r="151" spans="1:7" x14ac:dyDescent="0.25">
      <c r="A151" s="256"/>
      <c r="B151" s="256"/>
      <c r="C151" s="256"/>
      <c r="D151" s="256"/>
      <c r="E151" s="256"/>
      <c r="F151" s="256"/>
      <c r="G151" s="256"/>
    </row>
    <row r="152" spans="1:7" x14ac:dyDescent="0.25">
      <c r="A152" s="256"/>
      <c r="B152" s="256"/>
      <c r="C152" s="256"/>
      <c r="D152" s="256"/>
      <c r="E152" s="256"/>
      <c r="F152" s="256"/>
      <c r="G152" s="256"/>
    </row>
    <row r="153" spans="1:7" x14ac:dyDescent="0.25">
      <c r="A153" s="256"/>
      <c r="B153" s="256"/>
      <c r="C153" s="256"/>
      <c r="D153" s="256"/>
      <c r="E153" s="256"/>
      <c r="F153" s="256"/>
      <c r="G153" s="256"/>
    </row>
    <row r="154" spans="1:7" x14ac:dyDescent="0.25">
      <c r="A154" s="256"/>
      <c r="B154" s="256"/>
      <c r="C154" s="256"/>
      <c r="D154" s="256"/>
      <c r="E154" s="256"/>
      <c r="F154" s="256"/>
      <c r="G154" s="256"/>
    </row>
    <row r="155" spans="1:7" x14ac:dyDescent="0.25">
      <c r="A155" s="256"/>
      <c r="B155" s="256"/>
      <c r="C155" s="256"/>
      <c r="D155" s="256"/>
      <c r="E155" s="256"/>
      <c r="F155" s="256"/>
      <c r="G155" s="256"/>
    </row>
    <row r="156" spans="1:7" x14ac:dyDescent="0.25">
      <c r="A156" s="256"/>
      <c r="B156" s="256"/>
      <c r="C156" s="256"/>
      <c r="D156" s="256"/>
      <c r="E156" s="256"/>
      <c r="F156" s="256"/>
      <c r="G156" s="256"/>
    </row>
    <row r="157" spans="1:7" x14ac:dyDescent="0.25">
      <c r="A157" s="256"/>
      <c r="B157" s="256"/>
      <c r="C157" s="256"/>
      <c r="D157" s="256"/>
      <c r="E157" s="256"/>
      <c r="F157" s="256"/>
      <c r="G157" s="256"/>
    </row>
    <row r="158" spans="1:7" x14ac:dyDescent="0.25">
      <c r="A158" s="256"/>
      <c r="B158" s="256"/>
      <c r="C158" s="256"/>
      <c r="D158" s="256"/>
      <c r="E158" s="256"/>
      <c r="F158" s="256"/>
      <c r="G158" s="256"/>
    </row>
    <row r="159" spans="1:7" x14ac:dyDescent="0.25">
      <c r="A159" s="256"/>
      <c r="B159" s="256"/>
      <c r="C159" s="256"/>
      <c r="D159" s="256"/>
      <c r="E159" s="256"/>
      <c r="F159" s="256"/>
      <c r="G159" s="256"/>
    </row>
    <row r="160" spans="1:7" x14ac:dyDescent="0.25">
      <c r="A160" s="256"/>
      <c r="B160" s="256"/>
      <c r="C160" s="256"/>
      <c r="D160" s="256"/>
      <c r="E160" s="256"/>
      <c r="F160" s="256"/>
      <c r="G160" s="256"/>
    </row>
    <row r="161" spans="1:7" x14ac:dyDescent="0.25">
      <c r="A161" s="256"/>
      <c r="B161" s="256"/>
      <c r="C161" s="256"/>
      <c r="D161" s="256"/>
      <c r="E161" s="256"/>
      <c r="F161" s="256"/>
      <c r="G161" s="256"/>
    </row>
    <row r="162" spans="1:7" x14ac:dyDescent="0.25">
      <c r="A162" s="256"/>
      <c r="B162" s="256"/>
      <c r="C162" s="256"/>
      <c r="D162" s="256"/>
      <c r="E162" s="256"/>
      <c r="F162" s="256"/>
      <c r="G162" s="256"/>
    </row>
    <row r="163" spans="1:7" x14ac:dyDescent="0.25">
      <c r="A163" s="256"/>
      <c r="B163" s="256"/>
      <c r="C163" s="256"/>
      <c r="D163" s="256"/>
      <c r="E163" s="256"/>
      <c r="F163" s="256"/>
      <c r="G163" s="256"/>
    </row>
    <row r="164" spans="1:7" x14ac:dyDescent="0.25">
      <c r="A164" s="256"/>
      <c r="B164" s="256"/>
      <c r="C164" s="256"/>
      <c r="D164" s="256"/>
      <c r="E164" s="256"/>
      <c r="F164" s="256"/>
      <c r="G164" s="256"/>
    </row>
    <row r="165" spans="1:7" x14ac:dyDescent="0.25">
      <c r="A165" s="256"/>
      <c r="B165" s="256"/>
      <c r="C165" s="256"/>
      <c r="D165" s="256"/>
      <c r="E165" s="256"/>
      <c r="F165" s="256"/>
      <c r="G165" s="256"/>
    </row>
    <row r="166" spans="1:7" x14ac:dyDescent="0.25">
      <c r="A166" s="256"/>
      <c r="B166" s="256"/>
      <c r="C166" s="256"/>
      <c r="D166" s="256"/>
      <c r="E166" s="256"/>
      <c r="F166" s="256"/>
      <c r="G166" s="256"/>
    </row>
    <row r="167" spans="1:7" x14ac:dyDescent="0.25">
      <c r="A167" s="256"/>
      <c r="B167" s="256"/>
      <c r="C167" s="256"/>
      <c r="D167" s="256"/>
      <c r="E167" s="256"/>
      <c r="F167" s="256"/>
      <c r="G167" s="256"/>
    </row>
    <row r="168" spans="1:7" x14ac:dyDescent="0.25">
      <c r="A168" s="256"/>
      <c r="B168" s="256"/>
      <c r="C168" s="256"/>
      <c r="D168" s="256"/>
      <c r="E168" s="256"/>
      <c r="F168" s="256"/>
      <c r="G168" s="256"/>
    </row>
    <row r="169" spans="1:7" x14ac:dyDescent="0.25">
      <c r="A169" s="256"/>
      <c r="B169" s="256"/>
      <c r="C169" s="256"/>
      <c r="D169" s="256"/>
      <c r="E169" s="256"/>
      <c r="F169" s="256"/>
      <c r="G169" s="256"/>
    </row>
    <row r="170" spans="1:7" x14ac:dyDescent="0.25">
      <c r="A170" s="256"/>
      <c r="B170" s="256"/>
      <c r="C170" s="256"/>
      <c r="D170" s="256"/>
      <c r="E170" s="256"/>
      <c r="F170" s="256"/>
      <c r="G170" s="256"/>
    </row>
    <row r="171" spans="1:7" x14ac:dyDescent="0.25">
      <c r="A171" s="256"/>
      <c r="B171" s="256"/>
      <c r="C171" s="256"/>
      <c r="D171" s="256"/>
      <c r="E171" s="256"/>
      <c r="F171" s="256"/>
      <c r="G171" s="256"/>
    </row>
    <row r="172" spans="1:7" x14ac:dyDescent="0.25">
      <c r="A172" s="256"/>
      <c r="B172" s="256"/>
      <c r="C172" s="256"/>
      <c r="D172" s="256"/>
      <c r="E172" s="256"/>
      <c r="F172" s="256"/>
      <c r="G172" s="256"/>
    </row>
    <row r="173" spans="1:7" x14ac:dyDescent="0.25">
      <c r="A173" s="256"/>
      <c r="B173" s="256"/>
      <c r="C173" s="256"/>
      <c r="D173" s="256"/>
      <c r="E173" s="256"/>
      <c r="F173" s="256"/>
      <c r="G173" s="256"/>
    </row>
    <row r="174" spans="1:7" x14ac:dyDescent="0.25">
      <c r="A174" s="256"/>
      <c r="B174" s="256"/>
      <c r="C174" s="256"/>
      <c r="D174" s="256"/>
      <c r="E174" s="256"/>
      <c r="F174" s="256"/>
      <c r="G174" s="256"/>
    </row>
  </sheetData>
  <mergeCells count="27">
    <mergeCell ref="A39:B39"/>
    <mergeCell ref="C39:D39"/>
    <mergeCell ref="E9:F9"/>
    <mergeCell ref="E8:F8"/>
    <mergeCell ref="C36:D36"/>
    <mergeCell ref="C37:D37"/>
    <mergeCell ref="A8:B8"/>
    <mergeCell ref="A9:B9"/>
    <mergeCell ref="C10:D10"/>
    <mergeCell ref="E10:F10"/>
    <mergeCell ref="A29:G29"/>
    <mergeCell ref="E11:F11"/>
    <mergeCell ref="C11:D11"/>
    <mergeCell ref="C8:D8"/>
    <mergeCell ref="C9:D9"/>
    <mergeCell ref="A1:H1"/>
    <mergeCell ref="A2:H2"/>
    <mergeCell ref="A3:H3"/>
    <mergeCell ref="A4:H4"/>
    <mergeCell ref="E7:F7"/>
    <mergeCell ref="A6:B6"/>
    <mergeCell ref="E5:F5"/>
    <mergeCell ref="C5:D5"/>
    <mergeCell ref="C7:D7"/>
    <mergeCell ref="A7:B7"/>
    <mergeCell ref="C6:D6"/>
    <mergeCell ref="E6:F6"/>
  </mergeCells>
  <phoneticPr fontId="11" type="noConversion"/>
  <pageMargins left="0.63" right="0.4" top="0.37" bottom="0.52" header="0.5" footer="0.3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82"/>
  <sheetViews>
    <sheetView topLeftCell="A13" workbookViewId="0">
      <selection activeCell="M55" sqref="M55"/>
    </sheetView>
  </sheetViews>
  <sheetFormatPr defaultRowHeight="15" x14ac:dyDescent="0.25"/>
  <cols>
    <col min="1" max="1" width="17.7109375" customWidth="1"/>
    <col min="2" max="2" width="14.42578125" customWidth="1"/>
    <col min="7" max="7" width="11.85546875" customWidth="1"/>
    <col min="8" max="8" width="9" customWidth="1"/>
  </cols>
  <sheetData>
    <row r="1" spans="1:8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8" ht="18.75" x14ac:dyDescent="0.3">
      <c r="A2" s="1005" t="s">
        <v>164</v>
      </c>
      <c r="B2" s="1005"/>
      <c r="C2" s="1005"/>
      <c r="D2" s="1005"/>
      <c r="E2" s="1005"/>
      <c r="F2" s="1005"/>
      <c r="G2" s="1005"/>
      <c r="H2" s="1005"/>
    </row>
    <row r="3" spans="1:8" ht="18.75" x14ac:dyDescent="0.3">
      <c r="A3" s="1005" t="s">
        <v>27</v>
      </c>
      <c r="B3" s="1005"/>
      <c r="C3" s="1005"/>
      <c r="D3" s="1005"/>
      <c r="E3" s="1005"/>
      <c r="F3" s="1005"/>
      <c r="G3" s="1005"/>
      <c r="H3" s="1005"/>
    </row>
    <row r="4" spans="1:8" x14ac:dyDescent="0.25">
      <c r="A4" s="716" t="s">
        <v>43</v>
      </c>
      <c r="B4" s="1012"/>
      <c r="C4" s="1012"/>
      <c r="D4" s="1012"/>
      <c r="E4" s="1012"/>
      <c r="F4" s="1012"/>
      <c r="G4" s="1012"/>
      <c r="H4" s="1012"/>
    </row>
    <row r="6" spans="1:8" x14ac:dyDescent="0.25">
      <c r="A6" s="42" t="s">
        <v>9</v>
      </c>
      <c r="B6" s="12"/>
      <c r="C6" s="12"/>
      <c r="D6" s="12"/>
      <c r="E6" s="12"/>
      <c r="F6" s="12"/>
      <c r="G6" s="13"/>
      <c r="H6" s="15"/>
    </row>
    <row r="7" spans="1:8" x14ac:dyDescent="0.25">
      <c r="A7" s="14"/>
      <c r="B7" s="15"/>
      <c r="C7" s="15"/>
      <c r="D7" s="15"/>
      <c r="E7" s="15"/>
      <c r="F7" s="15"/>
      <c r="G7" s="16"/>
      <c r="H7" s="15"/>
    </row>
    <row r="8" spans="1:8" x14ac:dyDescent="0.25">
      <c r="A8" s="17" t="s">
        <v>10</v>
      </c>
      <c r="B8" s="98" t="s">
        <v>155</v>
      </c>
      <c r="C8" s="60"/>
      <c r="D8" s="60"/>
      <c r="E8" s="60"/>
      <c r="F8" s="60"/>
      <c r="G8" s="99"/>
      <c r="H8" s="18"/>
    </row>
    <row r="9" spans="1:8" x14ac:dyDescent="0.25">
      <c r="A9" s="17" t="s">
        <v>4</v>
      </c>
      <c r="B9" s="18" t="s">
        <v>154</v>
      </c>
      <c r="C9" s="18"/>
      <c r="D9" s="18"/>
      <c r="E9" s="18"/>
      <c r="F9" s="18"/>
      <c r="G9" s="19"/>
      <c r="H9" s="18"/>
    </row>
    <row r="10" spans="1:8" x14ac:dyDescent="0.25">
      <c r="A10" s="17" t="s">
        <v>14</v>
      </c>
      <c r="B10" s="18" t="s">
        <v>44</v>
      </c>
      <c r="C10" s="18"/>
      <c r="D10" s="18"/>
      <c r="E10" s="18"/>
      <c r="F10" s="18"/>
      <c r="G10" s="19"/>
      <c r="H10" s="18"/>
    </row>
    <row r="11" spans="1:8" x14ac:dyDescent="0.25">
      <c r="A11" s="17" t="s">
        <v>45</v>
      </c>
      <c r="B11" s="18" t="s">
        <v>162</v>
      </c>
      <c r="C11" s="18"/>
      <c r="D11" s="18"/>
      <c r="E11" s="18"/>
      <c r="F11" s="18"/>
      <c r="G11" s="19"/>
      <c r="H11" s="18"/>
    </row>
    <row r="12" spans="1:8" x14ac:dyDescent="0.25">
      <c r="A12" s="17" t="s">
        <v>11</v>
      </c>
      <c r="B12" s="18" t="s">
        <v>84</v>
      </c>
      <c r="C12" s="18"/>
      <c r="D12" s="18"/>
      <c r="E12" s="18"/>
      <c r="F12" s="18"/>
      <c r="G12" s="19"/>
      <c r="H12" s="18"/>
    </row>
    <row r="13" spans="1:8" x14ac:dyDescent="0.25">
      <c r="A13" s="17" t="s">
        <v>79</v>
      </c>
      <c r="B13" s="18" t="s">
        <v>112</v>
      </c>
      <c r="C13" s="18"/>
      <c r="D13" s="18"/>
      <c r="E13" s="61"/>
      <c r="F13" s="18"/>
      <c r="G13" s="19"/>
      <c r="H13" s="18"/>
    </row>
    <row r="14" spans="1:8" x14ac:dyDescent="0.25">
      <c r="A14" s="20" t="s">
        <v>13</v>
      </c>
      <c r="B14" s="21" t="s">
        <v>41</v>
      </c>
      <c r="C14" s="21"/>
      <c r="D14" s="21"/>
      <c r="E14" s="21"/>
      <c r="F14" s="21"/>
      <c r="G14" s="22"/>
      <c r="H14" s="18"/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ht="15.75" thickBot="1" x14ac:dyDescent="0.3">
      <c r="A16" s="31" t="s">
        <v>11</v>
      </c>
      <c r="B16" s="32"/>
      <c r="C16" s="32" t="s">
        <v>24</v>
      </c>
      <c r="D16" s="32"/>
      <c r="E16" s="32" t="s">
        <v>25</v>
      </c>
      <c r="F16" s="33"/>
      <c r="G16" s="34" t="s">
        <v>26</v>
      </c>
      <c r="H16" s="11"/>
    </row>
    <row r="17" spans="1:9" x14ac:dyDescent="0.25">
      <c r="A17" s="17"/>
      <c r="B17" s="18"/>
      <c r="C17" s="18"/>
      <c r="D17" s="18"/>
      <c r="E17" s="18"/>
      <c r="F17" s="18"/>
      <c r="G17" s="19"/>
      <c r="H17" s="11"/>
    </row>
    <row r="18" spans="1:9" x14ac:dyDescent="0.25">
      <c r="A18" s="35" t="s">
        <v>3</v>
      </c>
      <c r="B18" s="30"/>
      <c r="C18" s="49">
        <f>G18/24</f>
        <v>52.16</v>
      </c>
      <c r="D18" s="49"/>
      <c r="E18" s="49">
        <f>G18/12</f>
        <v>104.32</v>
      </c>
      <c r="F18" s="49"/>
      <c r="G18" s="48">
        <v>1251.8399999999999</v>
      </c>
      <c r="H18" s="11"/>
    </row>
    <row r="19" spans="1:9" x14ac:dyDescent="0.25">
      <c r="A19" s="17"/>
      <c r="B19" s="18"/>
      <c r="C19" s="50"/>
      <c r="D19" s="50"/>
      <c r="E19" s="50"/>
      <c r="F19" s="50"/>
      <c r="G19" s="51"/>
      <c r="H19" s="11"/>
    </row>
    <row r="20" spans="1:9" x14ac:dyDescent="0.25">
      <c r="A20" s="36" t="s">
        <v>2</v>
      </c>
      <c r="B20" s="37"/>
      <c r="C20" s="52">
        <f>G20/24</f>
        <v>20.150000000000002</v>
      </c>
      <c r="D20" s="52"/>
      <c r="E20" s="52">
        <f>G20/12</f>
        <v>40.300000000000004</v>
      </c>
      <c r="F20" s="52"/>
      <c r="G20" s="53">
        <v>483.6</v>
      </c>
      <c r="H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</row>
    <row r="22" spans="1:9" ht="15.75" thickBot="1" x14ac:dyDescent="0.3">
      <c r="A22" s="76" t="s">
        <v>128</v>
      </c>
      <c r="B22" s="77"/>
      <c r="C22" s="77" t="s">
        <v>24</v>
      </c>
      <c r="D22" s="77"/>
      <c r="E22" s="77" t="s">
        <v>25</v>
      </c>
      <c r="F22" s="77"/>
      <c r="G22" s="78" t="s">
        <v>26</v>
      </c>
      <c r="H22" s="11"/>
    </row>
    <row r="23" spans="1:9" x14ac:dyDescent="0.25">
      <c r="A23" s="1032" t="s">
        <v>148</v>
      </c>
      <c r="B23" s="1033"/>
      <c r="C23" s="1033"/>
      <c r="D23" s="1033"/>
      <c r="E23" s="1033"/>
      <c r="F23" s="1033"/>
      <c r="G23" s="1034"/>
      <c r="H23" s="11"/>
    </row>
    <row r="24" spans="1:9" x14ac:dyDescent="0.25">
      <c r="A24" s="246"/>
      <c r="B24" s="247"/>
      <c r="C24" s="247"/>
      <c r="D24" s="247"/>
      <c r="E24" s="247"/>
      <c r="F24" s="106"/>
      <c r="G24" s="248"/>
      <c r="H24" s="18"/>
    </row>
    <row r="25" spans="1:9" x14ac:dyDescent="0.25">
      <c r="A25" s="246" t="s">
        <v>124</v>
      </c>
      <c r="B25" s="247"/>
      <c r="C25" s="249">
        <f>E25/2</f>
        <v>2.52</v>
      </c>
      <c r="D25" s="247"/>
      <c r="E25" s="249">
        <v>5.04</v>
      </c>
      <c r="F25" s="106"/>
      <c r="G25" s="250">
        <f>E25*12</f>
        <v>60.480000000000004</v>
      </c>
      <c r="H25" s="18"/>
    </row>
    <row r="26" spans="1:9" x14ac:dyDescent="0.25">
      <c r="A26" s="246" t="s">
        <v>125</v>
      </c>
      <c r="B26" s="247"/>
      <c r="C26" s="249">
        <f>E26/2</f>
        <v>4.54</v>
      </c>
      <c r="D26" s="247"/>
      <c r="E26" s="249">
        <v>9.08</v>
      </c>
      <c r="F26" s="106"/>
      <c r="G26" s="250">
        <f>E26*12</f>
        <v>108.96000000000001</v>
      </c>
      <c r="H26" s="18"/>
    </row>
    <row r="27" spans="1:9" x14ac:dyDescent="0.25">
      <c r="A27" s="246" t="s">
        <v>126</v>
      </c>
      <c r="B27" s="247"/>
      <c r="C27" s="249">
        <v>4.78</v>
      </c>
      <c r="D27" s="247"/>
      <c r="E27" s="249">
        <v>9.57</v>
      </c>
      <c r="F27" s="106"/>
      <c r="G27" s="250">
        <f>E27*12</f>
        <v>114.84</v>
      </c>
      <c r="H27" s="18"/>
    </row>
    <row r="28" spans="1:9" x14ac:dyDescent="0.25">
      <c r="A28" s="251" t="s">
        <v>127</v>
      </c>
      <c r="B28" s="252"/>
      <c r="C28" s="253">
        <f>E28/2</f>
        <v>7.5650000000000004</v>
      </c>
      <c r="D28" s="252"/>
      <c r="E28" s="253">
        <v>15.13</v>
      </c>
      <c r="F28" s="254"/>
      <c r="G28" s="255">
        <f>E28*12</f>
        <v>181.56</v>
      </c>
      <c r="H28" s="18"/>
    </row>
    <row r="29" spans="1:9" x14ac:dyDescent="0.25">
      <c r="A29" s="11"/>
      <c r="B29" s="11"/>
      <c r="C29" s="11"/>
      <c r="D29" s="11"/>
      <c r="E29" s="11"/>
      <c r="F29" s="11"/>
      <c r="G29" s="11"/>
      <c r="H29" s="18"/>
    </row>
    <row r="30" spans="1:9" x14ac:dyDescent="0.25">
      <c r="A30" s="39" t="s">
        <v>16</v>
      </c>
      <c r="B30" s="23"/>
      <c r="C30" s="23"/>
      <c r="D30" s="23"/>
      <c r="E30" s="23"/>
      <c r="F30" s="23"/>
      <c r="G30" s="24"/>
      <c r="H30" s="155"/>
      <c r="I30" s="155"/>
    </row>
    <row r="31" spans="1:9" x14ac:dyDescent="0.25">
      <c r="A31" s="17"/>
      <c r="B31" s="38" t="s">
        <v>29</v>
      </c>
      <c r="C31" s="18"/>
      <c r="D31" s="44" t="s">
        <v>47</v>
      </c>
      <c r="E31" s="18"/>
      <c r="F31" s="18"/>
      <c r="G31" s="19"/>
    </row>
    <row r="32" spans="1:9" x14ac:dyDescent="0.25">
      <c r="A32" s="17" t="s">
        <v>18</v>
      </c>
      <c r="B32" s="40" t="s">
        <v>17</v>
      </c>
      <c r="C32" s="18"/>
      <c r="D32" s="55" t="s">
        <v>48</v>
      </c>
      <c r="E32" s="18"/>
      <c r="F32" s="18"/>
      <c r="G32" s="19"/>
    </row>
    <row r="33" spans="1:7" x14ac:dyDescent="0.25">
      <c r="A33" s="20" t="s">
        <v>19</v>
      </c>
      <c r="B33" s="41" t="s">
        <v>28</v>
      </c>
      <c r="C33" s="21"/>
      <c r="D33" s="54" t="s">
        <v>49</v>
      </c>
      <c r="E33" s="21"/>
      <c r="F33" s="21"/>
      <c r="G33" s="22"/>
    </row>
    <row r="34" spans="1:7" x14ac:dyDescent="0.25">
      <c r="A34" s="18"/>
      <c r="B34" s="40"/>
      <c r="C34" s="18"/>
      <c r="D34" s="55"/>
      <c r="E34" s="18"/>
      <c r="F34" s="18"/>
      <c r="G34" s="18"/>
    </row>
    <row r="35" spans="1:7" x14ac:dyDescent="0.25">
      <c r="A35" s="18"/>
      <c r="B35" s="40"/>
      <c r="C35" s="18"/>
      <c r="D35" s="55"/>
      <c r="E35" s="18"/>
      <c r="F35" s="18"/>
      <c r="G35" s="18"/>
    </row>
    <row r="36" spans="1:7" x14ac:dyDescent="0.25">
      <c r="A36" s="18"/>
      <c r="B36" s="40"/>
      <c r="C36" s="18"/>
      <c r="D36" s="55"/>
      <c r="E36" s="18"/>
      <c r="F36" s="18"/>
      <c r="G36" s="18"/>
    </row>
    <row r="37" spans="1:7" x14ac:dyDescent="0.25">
      <c r="A37" s="18"/>
      <c r="B37" s="40"/>
      <c r="C37" s="18"/>
      <c r="D37" s="55"/>
      <c r="E37" s="18"/>
      <c r="F37" s="18"/>
      <c r="G37" s="18"/>
    </row>
    <row r="38" spans="1:7" x14ac:dyDescent="0.25">
      <c r="A38" s="18"/>
      <c r="B38" s="40"/>
      <c r="C38" s="18"/>
      <c r="D38" s="55"/>
      <c r="E38" s="18"/>
      <c r="F38" s="18"/>
      <c r="G38" s="18"/>
    </row>
    <row r="39" spans="1:7" x14ac:dyDescent="0.25">
      <c r="A39" s="18"/>
      <c r="B39" s="40"/>
      <c r="C39" s="18"/>
      <c r="D39" s="55"/>
      <c r="E39" s="18"/>
      <c r="F39" s="18"/>
      <c r="G39" s="18"/>
    </row>
    <row r="40" spans="1:7" x14ac:dyDescent="0.25">
      <c r="A40" s="18"/>
      <c r="B40" s="40"/>
      <c r="C40" s="18"/>
      <c r="D40" s="55"/>
      <c r="E40" s="18"/>
      <c r="F40" s="18"/>
      <c r="G40" s="18"/>
    </row>
    <row r="41" spans="1:7" x14ac:dyDescent="0.25">
      <c r="A41" s="18"/>
      <c r="B41" s="40"/>
      <c r="C41" s="18"/>
      <c r="D41" s="55"/>
      <c r="E41" s="18"/>
      <c r="F41" s="18"/>
      <c r="G41" s="18"/>
    </row>
    <row r="42" spans="1:7" x14ac:dyDescent="0.25">
      <c r="A42" s="18"/>
      <c r="B42" s="40"/>
      <c r="C42" s="18"/>
      <c r="D42" s="55"/>
      <c r="E42" s="18"/>
      <c r="F42" s="18"/>
      <c r="G42" s="18"/>
    </row>
    <row r="43" spans="1:7" x14ac:dyDescent="0.25">
      <c r="A43" s="18"/>
      <c r="B43" s="40"/>
      <c r="C43" s="18"/>
      <c r="D43" s="55"/>
      <c r="E43" s="18"/>
      <c r="F43" s="18"/>
      <c r="G43" s="18"/>
    </row>
    <row r="44" spans="1:7" x14ac:dyDescent="0.25">
      <c r="A44" s="18"/>
      <c r="B44" s="40"/>
      <c r="C44" s="18"/>
      <c r="D44" s="55"/>
      <c r="E44" s="18"/>
      <c r="F44" s="18"/>
      <c r="G44" s="18"/>
    </row>
    <row r="45" spans="1:7" x14ac:dyDescent="0.25">
      <c r="A45" s="18"/>
      <c r="B45" s="40"/>
      <c r="C45" s="18"/>
      <c r="D45" s="55"/>
      <c r="E45" s="18"/>
      <c r="F45" s="18"/>
      <c r="G45" s="18"/>
    </row>
    <row r="46" spans="1:7" x14ac:dyDescent="0.25">
      <c r="A46" s="18"/>
      <c r="B46" s="40"/>
      <c r="C46" s="18"/>
      <c r="D46" s="55"/>
      <c r="E46" s="18"/>
      <c r="F46" s="18"/>
      <c r="G46" s="18"/>
    </row>
    <row r="47" spans="1:7" x14ac:dyDescent="0.25">
      <c r="A47" s="18"/>
      <c r="B47" s="40"/>
      <c r="C47" s="18"/>
      <c r="D47" s="55"/>
      <c r="E47" s="18"/>
      <c r="F47" s="18"/>
      <c r="G47" s="18"/>
    </row>
    <row r="48" spans="1:7" x14ac:dyDescent="0.25">
      <c r="A48" s="18"/>
      <c r="B48" s="40"/>
      <c r="C48" s="18"/>
      <c r="D48" s="55"/>
      <c r="E48" s="18"/>
      <c r="F48" s="18"/>
      <c r="G48" s="18"/>
    </row>
    <row r="49" spans="1:9" x14ac:dyDescent="0.25">
      <c r="A49" s="18"/>
      <c r="B49" s="40"/>
      <c r="C49" s="18"/>
      <c r="D49" s="55"/>
      <c r="E49" s="18"/>
      <c r="F49" s="18"/>
      <c r="G49" s="18"/>
    </row>
    <row r="51" spans="1:9" x14ac:dyDescent="0.25">
      <c r="A51" s="18"/>
      <c r="B51" s="40"/>
      <c r="C51" s="18"/>
      <c r="D51" s="55"/>
      <c r="E51" s="18"/>
      <c r="F51" s="18"/>
      <c r="G51" s="18"/>
    </row>
    <row r="52" spans="1:9" x14ac:dyDescent="0.25">
      <c r="A52" s="1030"/>
      <c r="B52" s="1030"/>
      <c r="C52" s="1030"/>
      <c r="D52" s="1030"/>
      <c r="E52" s="1030"/>
      <c r="F52" s="1030"/>
      <c r="G52" s="1030"/>
      <c r="H52" s="1030"/>
      <c r="I52" s="1030"/>
    </row>
    <row r="53" spans="1:9" x14ac:dyDescent="0.25">
      <c r="A53" s="1035"/>
      <c r="B53" s="1035"/>
      <c r="C53" s="1035"/>
      <c r="D53" s="1035"/>
      <c r="E53" s="1035"/>
      <c r="F53" s="1035"/>
      <c r="G53" s="1035"/>
    </row>
    <row r="54" spans="1:9" ht="28.5" customHeight="1" x14ac:dyDescent="0.25">
      <c r="A54" s="1030" t="s">
        <v>173</v>
      </c>
      <c r="B54" s="1030"/>
      <c r="C54" s="1030"/>
      <c r="D54" s="1030"/>
      <c r="E54" s="1030"/>
      <c r="F54" s="1030"/>
      <c r="G54" s="1030"/>
      <c r="H54" s="1030"/>
      <c r="I54" s="1030"/>
    </row>
    <row r="55" spans="1:9" x14ac:dyDescent="0.25">
      <c r="A55" s="1031"/>
      <c r="B55" s="1031"/>
      <c r="C55" s="1031"/>
      <c r="D55" s="1031"/>
      <c r="E55" s="1031"/>
      <c r="F55" s="1031"/>
      <c r="G55" s="1031"/>
    </row>
    <row r="56" spans="1:9" ht="28.5" customHeight="1" x14ac:dyDescent="0.25"/>
    <row r="75" spans="8:8" ht="29.25" customHeight="1" x14ac:dyDescent="0.25">
      <c r="H75" s="154"/>
    </row>
    <row r="82" spans="1:7" x14ac:dyDescent="0.25">
      <c r="A82" s="154"/>
      <c r="B82" s="154"/>
      <c r="C82" s="154"/>
      <c r="D82" s="154"/>
      <c r="E82" s="154"/>
      <c r="F82" s="154"/>
      <c r="G82" s="154"/>
    </row>
  </sheetData>
  <mergeCells count="9">
    <mergeCell ref="A52:I52"/>
    <mergeCell ref="A55:G55"/>
    <mergeCell ref="A23:G23"/>
    <mergeCell ref="A1:H1"/>
    <mergeCell ref="A2:H2"/>
    <mergeCell ref="A3:H3"/>
    <mergeCell ref="A4:H4"/>
    <mergeCell ref="A53:G53"/>
    <mergeCell ref="A54:I54"/>
  </mergeCells>
  <phoneticPr fontId="11" type="noConversion"/>
  <pageMargins left="0.53" right="0.21" top="0.6" bottom="0.5" header="0.3" footer="0.3"/>
  <pageSetup scale="91" fitToHeight="2" orientation="portrait" r:id="rId1"/>
  <headerFooter>
    <oddHeader>&amp;R&amp;D</oddHead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83"/>
  <sheetViews>
    <sheetView workbookViewId="0">
      <selection activeCell="A3" sqref="A3:H3"/>
    </sheetView>
  </sheetViews>
  <sheetFormatPr defaultRowHeight="15" x14ac:dyDescent="0.25"/>
  <cols>
    <col min="1" max="1" width="18.140625" bestFit="1" customWidth="1"/>
    <col min="8" max="8" width="11.7109375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9" ht="18.75" x14ac:dyDescent="0.3">
      <c r="A3" s="1036" t="s">
        <v>85</v>
      </c>
      <c r="B3" s="1036"/>
      <c r="C3" s="1036"/>
      <c r="D3" s="1036"/>
      <c r="E3" s="1036"/>
      <c r="F3" s="1036"/>
      <c r="G3" s="1036"/>
      <c r="H3" s="1036"/>
    </row>
    <row r="4" spans="1:9" x14ac:dyDescent="0.25">
      <c r="A4" s="716" t="s">
        <v>23</v>
      </c>
      <c r="B4" s="1012"/>
      <c r="C4" s="1012"/>
      <c r="D4" s="1012"/>
      <c r="E4" s="1012"/>
      <c r="F4" s="1012"/>
      <c r="G4" s="1012"/>
      <c r="H4" s="1012"/>
    </row>
    <row r="6" spans="1:9" x14ac:dyDescent="0.25">
      <c r="A6" s="311" t="s">
        <v>174</v>
      </c>
      <c r="B6" s="1007" t="s">
        <v>54</v>
      </c>
      <c r="C6" s="1007"/>
      <c r="D6" s="1007"/>
      <c r="E6" s="1008"/>
      <c r="F6" s="355"/>
      <c r="G6" s="355"/>
      <c r="H6" s="355"/>
      <c r="I6" s="332"/>
    </row>
    <row r="7" spans="1:9" x14ac:dyDescent="0.25">
      <c r="A7" s="325" t="s">
        <v>164</v>
      </c>
      <c r="B7" s="334">
        <v>0</v>
      </c>
      <c r="C7" s="334">
        <v>1</v>
      </c>
      <c r="D7" s="356" t="s">
        <v>52</v>
      </c>
      <c r="E7" s="336" t="s">
        <v>53</v>
      </c>
      <c r="F7" s="355"/>
      <c r="G7" s="355"/>
      <c r="H7" s="355"/>
      <c r="I7" s="332"/>
    </row>
    <row r="8" spans="1:9" x14ac:dyDescent="0.25">
      <c r="A8" s="357" t="s">
        <v>62</v>
      </c>
      <c r="B8" s="442">
        <v>15</v>
      </c>
      <c r="C8" s="442">
        <v>15.5</v>
      </c>
      <c r="D8" s="442">
        <v>16</v>
      </c>
      <c r="E8" s="443">
        <v>16.100000000000001</v>
      </c>
      <c r="F8" s="355"/>
      <c r="G8" s="355"/>
      <c r="H8" s="355"/>
      <c r="I8" s="332"/>
    </row>
    <row r="9" spans="1:9" x14ac:dyDescent="0.25">
      <c r="A9" s="444"/>
      <c r="B9" s="318"/>
      <c r="C9" s="318"/>
      <c r="D9" s="318"/>
      <c r="E9" s="319"/>
      <c r="F9" s="355"/>
      <c r="G9" s="355"/>
      <c r="H9" s="355"/>
      <c r="I9" s="332"/>
    </row>
    <row r="10" spans="1:9" x14ac:dyDescent="0.25">
      <c r="A10" s="355"/>
      <c r="B10" s="355"/>
      <c r="C10" s="355"/>
      <c r="D10" s="355"/>
      <c r="E10" s="355"/>
      <c r="F10" s="355"/>
      <c r="G10" s="355"/>
      <c r="H10" s="355"/>
      <c r="I10" s="332"/>
    </row>
    <row r="11" spans="1:9" x14ac:dyDescent="0.25">
      <c r="A11" s="320" t="s">
        <v>9</v>
      </c>
      <c r="B11" s="321"/>
      <c r="C11" s="321"/>
      <c r="D11" s="321"/>
      <c r="E11" s="321"/>
      <c r="F11" s="321"/>
      <c r="G11" s="321"/>
      <c r="H11" s="322"/>
      <c r="I11" s="332"/>
    </row>
    <row r="12" spans="1:9" x14ac:dyDescent="0.25">
      <c r="A12" s="313"/>
      <c r="B12" s="323"/>
      <c r="C12" s="323"/>
      <c r="D12" s="323"/>
      <c r="E12" s="323"/>
      <c r="F12" s="323"/>
      <c r="G12" s="323"/>
      <c r="H12" s="324"/>
      <c r="I12" s="332"/>
    </row>
    <row r="13" spans="1:9" x14ac:dyDescent="0.25">
      <c r="A13" s="325" t="s">
        <v>10</v>
      </c>
      <c r="B13" s="326" t="s">
        <v>152</v>
      </c>
      <c r="C13" s="326"/>
      <c r="D13" s="326"/>
      <c r="E13" s="326"/>
      <c r="F13" s="326"/>
      <c r="G13" s="326"/>
      <c r="H13" s="327"/>
      <c r="I13" s="332"/>
    </row>
    <row r="14" spans="1:9" x14ac:dyDescent="0.25">
      <c r="A14" s="325" t="s">
        <v>4</v>
      </c>
      <c r="B14" s="326" t="s">
        <v>151</v>
      </c>
      <c r="C14" s="326"/>
      <c r="D14" s="326"/>
      <c r="E14" s="326"/>
      <c r="F14" s="326"/>
      <c r="G14" s="326"/>
      <c r="H14" s="327"/>
      <c r="I14" s="332"/>
    </row>
    <row r="15" spans="1:9" x14ac:dyDescent="0.25">
      <c r="A15" s="325" t="s">
        <v>14</v>
      </c>
      <c r="B15" s="326" t="s">
        <v>42</v>
      </c>
      <c r="C15" s="326"/>
      <c r="D15" s="326"/>
      <c r="E15" s="326"/>
      <c r="F15" s="326"/>
      <c r="G15" s="326"/>
      <c r="H15" s="327"/>
      <c r="I15" s="332"/>
    </row>
    <row r="16" spans="1:9" x14ac:dyDescent="0.25">
      <c r="A16" s="325" t="s">
        <v>60</v>
      </c>
      <c r="B16" s="326" t="s">
        <v>160</v>
      </c>
      <c r="C16" s="326"/>
      <c r="D16" s="326"/>
      <c r="E16" s="326"/>
      <c r="F16" s="326"/>
      <c r="G16" s="326"/>
      <c r="H16" s="327"/>
      <c r="I16" s="332"/>
    </row>
    <row r="17" spans="1:9" x14ac:dyDescent="0.25">
      <c r="A17" s="325" t="s">
        <v>79</v>
      </c>
      <c r="B17" s="326" t="s">
        <v>175</v>
      </c>
      <c r="C17" s="326"/>
      <c r="D17" s="326"/>
      <c r="E17" s="328"/>
      <c r="F17" s="326"/>
      <c r="G17" s="326"/>
      <c r="H17" s="327"/>
      <c r="I17" s="332"/>
    </row>
    <row r="18" spans="1:9" x14ac:dyDescent="0.25">
      <c r="A18" s="325" t="s">
        <v>11</v>
      </c>
      <c r="B18" s="326" t="s">
        <v>12</v>
      </c>
      <c r="C18" s="326"/>
      <c r="D18" s="326"/>
      <c r="E18" s="326"/>
      <c r="F18" s="326"/>
      <c r="G18" s="326"/>
      <c r="H18" s="327"/>
      <c r="I18" s="332"/>
    </row>
    <row r="19" spans="1:9" x14ac:dyDescent="0.25">
      <c r="A19" s="317" t="s">
        <v>13</v>
      </c>
      <c r="B19" s="329" t="s">
        <v>12</v>
      </c>
      <c r="C19" s="329"/>
      <c r="D19" s="329"/>
      <c r="E19" s="329"/>
      <c r="F19" s="329"/>
      <c r="G19" s="329"/>
      <c r="H19" s="330"/>
      <c r="I19" s="332"/>
    </row>
    <row r="20" spans="1:9" x14ac:dyDescent="0.25">
      <c r="A20" s="331"/>
      <c r="B20" s="331"/>
      <c r="C20" s="331"/>
      <c r="D20" s="331"/>
      <c r="E20" s="331"/>
      <c r="F20" s="331"/>
      <c r="G20" s="331"/>
      <c r="H20" s="331"/>
      <c r="I20" s="332"/>
    </row>
    <row r="21" spans="1:9" x14ac:dyDescent="0.25">
      <c r="A21" s="311" t="s">
        <v>16</v>
      </c>
      <c r="B21" s="321"/>
      <c r="C21" s="321"/>
      <c r="D21" s="321"/>
      <c r="E21" s="321"/>
      <c r="F21" s="322"/>
      <c r="G21" s="332"/>
      <c r="H21" s="332"/>
      <c r="I21" s="332"/>
    </row>
    <row r="22" spans="1:9" s="59" customFormat="1" x14ac:dyDescent="0.25">
      <c r="A22" s="363"/>
      <c r="B22" s="334" t="s">
        <v>32</v>
      </c>
      <c r="C22" s="335"/>
      <c r="D22" s="334" t="s">
        <v>19</v>
      </c>
      <c r="E22" s="335"/>
      <c r="F22" s="336" t="s">
        <v>33</v>
      </c>
      <c r="G22" s="364"/>
      <c r="H22" s="364"/>
      <c r="I22" s="364"/>
    </row>
    <row r="23" spans="1:9" x14ac:dyDescent="0.25">
      <c r="A23" s="325" t="s">
        <v>31</v>
      </c>
      <c r="B23" s="326"/>
      <c r="C23" s="326"/>
      <c r="D23" s="326"/>
      <c r="E23" s="326"/>
      <c r="F23" s="327"/>
      <c r="G23" s="332"/>
      <c r="H23" s="332"/>
      <c r="I23" s="332"/>
    </row>
    <row r="24" spans="1:9" x14ac:dyDescent="0.25">
      <c r="A24" s="337" t="s">
        <v>34</v>
      </c>
      <c r="B24" s="326">
        <v>10</v>
      </c>
      <c r="C24" s="326"/>
      <c r="D24" s="326">
        <v>1</v>
      </c>
      <c r="E24" s="326"/>
      <c r="F24" s="327">
        <v>2</v>
      </c>
      <c r="G24" s="332"/>
      <c r="H24" s="332"/>
      <c r="I24" s="332"/>
    </row>
    <row r="25" spans="1:9" x14ac:dyDescent="0.25">
      <c r="A25" s="337">
        <v>2</v>
      </c>
      <c r="B25" s="326">
        <v>10</v>
      </c>
      <c r="C25" s="326"/>
      <c r="D25" s="326">
        <v>1</v>
      </c>
      <c r="E25" s="326"/>
      <c r="F25" s="327">
        <v>2</v>
      </c>
      <c r="G25" s="332"/>
      <c r="H25" s="332"/>
      <c r="I25" s="332"/>
    </row>
    <row r="26" spans="1:9" x14ac:dyDescent="0.25">
      <c r="A26" s="338" t="s">
        <v>36</v>
      </c>
      <c r="B26" s="326">
        <v>10</v>
      </c>
      <c r="C26" s="326"/>
      <c r="D26" s="326">
        <v>1</v>
      </c>
      <c r="E26" s="326"/>
      <c r="F26" s="327">
        <v>2</v>
      </c>
      <c r="G26" s="332"/>
      <c r="H26" s="332"/>
      <c r="I26" s="332"/>
    </row>
    <row r="27" spans="1:9" x14ac:dyDescent="0.25">
      <c r="A27" s="338" t="s">
        <v>37</v>
      </c>
      <c r="B27" s="326">
        <v>10</v>
      </c>
      <c r="C27" s="326"/>
      <c r="D27" s="326">
        <v>2</v>
      </c>
      <c r="E27" s="326"/>
      <c r="F27" s="327">
        <v>3</v>
      </c>
      <c r="G27" s="332"/>
      <c r="H27" s="332"/>
      <c r="I27" s="332"/>
    </row>
    <row r="28" spans="1:9" x14ac:dyDescent="0.25">
      <c r="A28" s="339" t="s">
        <v>35</v>
      </c>
      <c r="B28" s="326">
        <v>10</v>
      </c>
      <c r="C28" s="326"/>
      <c r="D28" s="326">
        <v>2</v>
      </c>
      <c r="E28" s="326"/>
      <c r="F28" s="327">
        <v>4</v>
      </c>
      <c r="G28" s="332"/>
      <c r="H28" s="332"/>
      <c r="I28" s="332"/>
    </row>
    <row r="29" spans="1:9" x14ac:dyDescent="0.25">
      <c r="A29" s="325" t="s">
        <v>38</v>
      </c>
      <c r="B29" s="326">
        <v>10</v>
      </c>
      <c r="C29" s="326"/>
      <c r="D29" s="326">
        <v>2</v>
      </c>
      <c r="E29" s="326"/>
      <c r="F29" s="327">
        <v>5</v>
      </c>
      <c r="G29" s="332"/>
      <c r="H29" s="332"/>
      <c r="I29" s="332"/>
    </row>
    <row r="30" spans="1:9" x14ac:dyDescent="0.25">
      <c r="A30" s="340" t="s">
        <v>39</v>
      </c>
      <c r="B30" s="341">
        <v>10</v>
      </c>
      <c r="C30" s="341"/>
      <c r="D30" s="342">
        <v>2</v>
      </c>
      <c r="E30" s="341"/>
      <c r="F30" s="343">
        <v>6</v>
      </c>
      <c r="G30" s="332"/>
      <c r="H30" s="332"/>
      <c r="I30" s="332"/>
    </row>
    <row r="31" spans="1:9" x14ac:dyDescent="0.25">
      <c r="A31" s="344" t="s">
        <v>40</v>
      </c>
      <c r="B31" s="345">
        <v>10</v>
      </c>
      <c r="C31" s="345"/>
      <c r="D31" s="346">
        <v>2</v>
      </c>
      <c r="E31" s="345"/>
      <c r="F31" s="347">
        <v>7</v>
      </c>
      <c r="G31" s="332"/>
      <c r="H31" s="332"/>
      <c r="I31" s="332"/>
    </row>
    <row r="32" spans="1:9" x14ac:dyDescent="0.25">
      <c r="A32" s="341"/>
      <c r="B32" s="341"/>
      <c r="C32" s="341"/>
      <c r="D32" s="342"/>
      <c r="E32" s="341"/>
      <c r="F32" s="341"/>
      <c r="G32" s="341"/>
      <c r="H32" s="341"/>
      <c r="I32" s="332"/>
    </row>
    <row r="33" spans="1:9" x14ac:dyDescent="0.25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9" x14ac:dyDescent="0.25">
      <c r="A34" s="332"/>
      <c r="B34" s="332"/>
      <c r="C34" s="332"/>
      <c r="D34" s="332"/>
      <c r="E34" s="332"/>
      <c r="F34" s="332"/>
      <c r="G34" s="332"/>
      <c r="H34" s="332"/>
      <c r="I34" s="332"/>
    </row>
    <row r="42" spans="1:9" x14ac:dyDescent="0.25">
      <c r="A42" s="64"/>
      <c r="D42" s="63"/>
      <c r="F42" s="62"/>
    </row>
    <row r="43" spans="1:9" ht="15.75" x14ac:dyDescent="0.25">
      <c r="A43" s="257"/>
      <c r="B43" s="257"/>
      <c r="C43" s="257"/>
      <c r="D43" s="257"/>
      <c r="E43" s="257"/>
      <c r="F43" s="257"/>
      <c r="G43" s="257"/>
      <c r="H43" s="257"/>
    </row>
    <row r="44" spans="1:9" x14ac:dyDescent="0.25">
      <c r="A44" s="258"/>
      <c r="B44" s="258"/>
      <c r="C44" s="258"/>
      <c r="D44" s="258"/>
      <c r="E44" s="258"/>
      <c r="F44" s="258"/>
      <c r="G44" s="258"/>
      <c r="H44" s="258"/>
    </row>
    <row r="45" spans="1:9" x14ac:dyDescent="0.25">
      <c r="A45" s="256"/>
      <c r="B45" s="256"/>
      <c r="C45" s="256"/>
      <c r="D45" s="256"/>
      <c r="E45" s="256"/>
      <c r="F45" s="256"/>
      <c r="G45" s="256"/>
      <c r="H45" s="256"/>
    </row>
    <row r="46" spans="1:9" x14ac:dyDescent="0.25">
      <c r="A46" s="25"/>
      <c r="B46" s="25"/>
      <c r="C46" s="25"/>
      <c r="D46" s="25"/>
      <c r="E46" s="25"/>
      <c r="F46" s="25"/>
      <c r="G46" s="29"/>
      <c r="H46" s="29"/>
    </row>
    <row r="47" spans="1:9" x14ac:dyDescent="0.25">
      <c r="A47" s="25"/>
      <c r="B47" s="25"/>
      <c r="C47" s="25"/>
      <c r="D47" s="25"/>
      <c r="E47" s="25"/>
      <c r="F47" s="25"/>
      <c r="G47" s="29"/>
      <c r="H47" s="29"/>
    </row>
    <row r="48" spans="1:9" x14ac:dyDescent="0.25">
      <c r="A48" s="25"/>
      <c r="B48" s="25"/>
      <c r="C48" s="29"/>
      <c r="D48" s="29"/>
      <c r="E48" s="29"/>
      <c r="F48" s="72"/>
      <c r="G48" s="29"/>
      <c r="H48" s="29"/>
    </row>
    <row r="49" spans="1:8" x14ac:dyDescent="0.25">
      <c r="A49" s="100"/>
      <c r="B49" s="89"/>
      <c r="C49" s="47"/>
      <c r="D49" s="47"/>
      <c r="E49" s="47"/>
      <c r="F49" s="101"/>
      <c r="G49" s="47"/>
      <c r="H49" s="47"/>
    </row>
    <row r="50" spans="1:8" x14ac:dyDescent="0.25">
      <c r="A50" s="89"/>
      <c r="B50" s="89"/>
      <c r="C50" s="47"/>
      <c r="D50" s="47"/>
      <c r="E50" s="47"/>
      <c r="F50" s="101"/>
      <c r="G50" s="47"/>
      <c r="H50" s="47"/>
    </row>
    <row r="51" spans="1:8" x14ac:dyDescent="0.25">
      <c r="A51" s="89"/>
      <c r="B51" s="89"/>
      <c r="C51" s="47"/>
      <c r="D51" s="47"/>
      <c r="E51" s="47"/>
      <c r="F51" s="101"/>
      <c r="G51" s="47"/>
      <c r="H51" s="47"/>
    </row>
    <row r="52" spans="1:8" ht="15.75" x14ac:dyDescent="0.25">
      <c r="A52" s="259"/>
      <c r="B52" s="259"/>
      <c r="C52" s="259"/>
      <c r="D52" s="259"/>
      <c r="E52" s="259"/>
      <c r="F52" s="259"/>
      <c r="G52" s="259"/>
      <c r="H52" s="259"/>
    </row>
    <row r="53" spans="1:8" x14ac:dyDescent="0.25">
      <c r="A53" s="100"/>
      <c r="B53" s="89"/>
      <c r="C53" s="89"/>
      <c r="D53" s="102"/>
      <c r="E53" s="100"/>
      <c r="F53" s="102"/>
      <c r="G53" s="89"/>
      <c r="H53" s="89"/>
    </row>
    <row r="54" spans="1:8" x14ac:dyDescent="0.25">
      <c r="A54" s="89"/>
      <c r="B54" s="89"/>
      <c r="C54" s="89"/>
      <c r="D54" s="47"/>
      <c r="E54" s="89"/>
      <c r="F54" s="103"/>
      <c r="G54" s="89"/>
      <c r="H54" s="89"/>
    </row>
    <row r="55" spans="1:8" x14ac:dyDescent="0.25">
      <c r="A55" s="89"/>
      <c r="B55" s="89"/>
      <c r="C55" s="89"/>
      <c r="D55" s="88"/>
      <c r="E55" s="89"/>
      <c r="F55" s="90"/>
      <c r="G55" s="89"/>
      <c r="H55" s="89"/>
    </row>
    <row r="56" spans="1:8" x14ac:dyDescent="0.25">
      <c r="A56" s="104"/>
      <c r="B56" s="89"/>
      <c r="C56" s="89"/>
      <c r="D56" s="47"/>
      <c r="E56" s="89"/>
      <c r="F56" s="103"/>
      <c r="G56" s="89"/>
      <c r="H56" s="89"/>
    </row>
    <row r="57" spans="1:8" x14ac:dyDescent="0.25">
      <c r="A57" s="104"/>
      <c r="B57" s="104"/>
      <c r="C57" s="89"/>
      <c r="D57" s="88"/>
      <c r="E57" s="89"/>
      <c r="F57" s="103"/>
      <c r="G57" s="89"/>
      <c r="H57" s="89"/>
    </row>
    <row r="58" spans="1:8" x14ac:dyDescent="0.25">
      <c r="A58" s="89"/>
      <c r="B58" s="89"/>
      <c r="C58" s="89"/>
      <c r="D58" s="88"/>
      <c r="E58" s="89"/>
      <c r="F58" s="89"/>
      <c r="G58" s="89"/>
      <c r="H58" s="89"/>
    </row>
    <row r="59" spans="1:8" x14ac:dyDescent="0.25">
      <c r="A59" s="100"/>
      <c r="B59" s="89"/>
      <c r="C59" s="89"/>
      <c r="D59" s="102"/>
      <c r="E59" s="100"/>
      <c r="F59" s="102"/>
      <c r="G59" s="89"/>
      <c r="H59" s="89"/>
    </row>
    <row r="60" spans="1:8" x14ac:dyDescent="0.25">
      <c r="A60" s="89"/>
      <c r="B60" s="89"/>
      <c r="C60" s="89"/>
      <c r="D60" s="88"/>
      <c r="E60" s="89"/>
      <c r="F60" s="90"/>
      <c r="G60" s="89"/>
      <c r="H60" s="89"/>
    </row>
    <row r="61" spans="1:8" x14ac:dyDescent="0.25">
      <c r="A61" s="89"/>
      <c r="B61" s="89"/>
      <c r="C61" s="89"/>
      <c r="D61" s="88"/>
      <c r="E61" s="89"/>
      <c r="F61" s="90"/>
      <c r="G61" s="89"/>
      <c r="H61" s="89"/>
    </row>
    <row r="62" spans="1:8" x14ac:dyDescent="0.25">
      <c r="A62" s="58"/>
      <c r="B62" s="25"/>
      <c r="C62" s="25"/>
      <c r="D62" s="26"/>
      <c r="E62" s="25"/>
      <c r="F62" s="28"/>
      <c r="G62" s="25"/>
      <c r="H62" s="25"/>
    </row>
    <row r="63" spans="1:8" x14ac:dyDescent="0.25">
      <c r="A63" s="58"/>
      <c r="B63" s="58"/>
      <c r="C63" s="25"/>
      <c r="D63" s="26"/>
      <c r="E63" s="25"/>
      <c r="F63" s="28"/>
    </row>
    <row r="64" spans="1:8" x14ac:dyDescent="0.25">
      <c r="A64" s="25"/>
      <c r="B64" s="25"/>
      <c r="C64" s="25"/>
      <c r="D64" s="26"/>
      <c r="E64" s="25"/>
      <c r="F64" s="28"/>
    </row>
    <row r="65" spans="1:8" x14ac:dyDescent="0.25">
      <c r="A65" s="27"/>
      <c r="B65" s="25"/>
      <c r="C65" s="25"/>
      <c r="D65" s="29"/>
      <c r="E65" s="27"/>
      <c r="F65" s="29"/>
    </row>
    <row r="66" spans="1:8" x14ac:dyDescent="0.25">
      <c r="A66" s="25"/>
      <c r="B66" s="25"/>
      <c r="C66" s="25"/>
      <c r="D66" s="88"/>
      <c r="E66" s="89"/>
      <c r="F66" s="90"/>
      <c r="G66" s="66"/>
    </row>
    <row r="67" spans="1:8" x14ac:dyDescent="0.25">
      <c r="A67" s="25"/>
      <c r="B67" s="25"/>
      <c r="C67" s="25"/>
      <c r="D67" s="88"/>
      <c r="E67" s="89"/>
      <c r="F67" s="90"/>
      <c r="G67" s="66"/>
    </row>
    <row r="68" spans="1:8" x14ac:dyDescent="0.25">
      <c r="A68" s="58"/>
      <c r="B68" s="25"/>
      <c r="C68" s="25"/>
      <c r="D68" s="88"/>
      <c r="E68" s="89"/>
      <c r="F68" s="103"/>
      <c r="G68" s="66"/>
    </row>
    <row r="69" spans="1:8" x14ac:dyDescent="0.25">
      <c r="A69" s="58"/>
      <c r="B69" s="58"/>
      <c r="C69" s="25"/>
      <c r="D69" s="88"/>
      <c r="E69" s="89"/>
      <c r="F69" s="103"/>
      <c r="G69" s="66"/>
    </row>
    <row r="70" spans="1:8" x14ac:dyDescent="0.25">
      <c r="A70" s="25"/>
      <c r="B70" s="25"/>
      <c r="C70" s="25"/>
      <c r="D70" s="88"/>
      <c r="E70" s="89"/>
      <c r="F70" s="103"/>
      <c r="G70" s="66"/>
    </row>
    <row r="71" spans="1:8" x14ac:dyDescent="0.25">
      <c r="A71" s="27"/>
      <c r="B71" s="25"/>
      <c r="C71" s="25"/>
      <c r="D71" s="102"/>
      <c r="E71" s="100"/>
      <c r="F71" s="102"/>
      <c r="G71" s="66"/>
    </row>
    <row r="72" spans="1:8" x14ac:dyDescent="0.25">
      <c r="A72" s="25"/>
      <c r="B72" s="25"/>
      <c r="C72" s="25"/>
      <c r="D72" s="105"/>
      <c r="E72" s="89"/>
      <c r="F72" s="90"/>
      <c r="G72" s="66"/>
    </row>
    <row r="73" spans="1:8" x14ac:dyDescent="0.25">
      <c r="A73" s="25"/>
      <c r="B73" s="25"/>
      <c r="C73" s="25"/>
      <c r="D73" s="105"/>
      <c r="E73" s="89"/>
      <c r="F73" s="90"/>
      <c r="G73" s="66"/>
    </row>
    <row r="74" spans="1:8" x14ac:dyDescent="0.25">
      <c r="A74" s="58"/>
      <c r="B74" s="25"/>
      <c r="C74" s="25"/>
      <c r="D74" s="105"/>
      <c r="E74" s="89"/>
      <c r="F74" s="103"/>
      <c r="G74" s="66"/>
    </row>
    <row r="75" spans="1:8" x14ac:dyDescent="0.25">
      <c r="A75" s="58"/>
      <c r="B75" s="58"/>
      <c r="C75" s="25"/>
      <c r="D75" s="105"/>
      <c r="E75" s="89"/>
      <c r="F75" s="103"/>
      <c r="G75" s="66"/>
    </row>
    <row r="76" spans="1:8" x14ac:dyDescent="0.25">
      <c r="A76" s="25"/>
      <c r="B76" s="25"/>
      <c r="C76" s="25"/>
      <c r="D76" s="105"/>
      <c r="E76" s="89"/>
      <c r="F76" s="103"/>
      <c r="G76" s="66"/>
    </row>
    <row r="77" spans="1:8" x14ac:dyDescent="0.25">
      <c r="A77" s="27"/>
      <c r="B77" s="25"/>
      <c r="C77" s="25"/>
      <c r="D77" s="102"/>
      <c r="E77" s="100"/>
      <c r="F77" s="102"/>
      <c r="G77" s="66"/>
    </row>
    <row r="78" spans="1:8" x14ac:dyDescent="0.25">
      <c r="A78" s="25"/>
      <c r="B78" s="25"/>
      <c r="C78" s="25"/>
      <c r="D78" s="88"/>
      <c r="E78" s="89"/>
      <c r="F78" s="90"/>
      <c r="G78" s="66"/>
    </row>
    <row r="79" spans="1:8" x14ac:dyDescent="0.25">
      <c r="A79" s="25"/>
      <c r="B79" s="25"/>
      <c r="C79" s="25"/>
      <c r="D79" s="88"/>
      <c r="E79" s="89"/>
      <c r="F79" s="90"/>
      <c r="G79" s="89"/>
      <c r="H79" s="25"/>
    </row>
    <row r="80" spans="1:8" x14ac:dyDescent="0.25">
      <c r="A80" s="58"/>
      <c r="B80" s="25"/>
      <c r="C80" s="25"/>
      <c r="D80" s="88"/>
      <c r="E80" s="89"/>
      <c r="F80" s="103"/>
      <c r="G80" s="89"/>
      <c r="H80" s="25"/>
    </row>
    <row r="81" spans="1:8" x14ac:dyDescent="0.25">
      <c r="A81" s="58"/>
      <c r="B81" s="58"/>
      <c r="C81" s="25"/>
      <c r="D81" s="26"/>
      <c r="E81" s="25"/>
      <c r="F81" s="28"/>
      <c r="G81" s="25"/>
      <c r="H81" s="25"/>
    </row>
    <row r="82" spans="1:8" x14ac:dyDescent="0.25">
      <c r="A82" s="58"/>
      <c r="B82" s="58"/>
      <c r="C82" s="25"/>
      <c r="D82" s="26"/>
      <c r="E82" s="25"/>
      <c r="F82" s="28"/>
      <c r="G82" s="25"/>
      <c r="H82" s="25"/>
    </row>
    <row r="83" spans="1:8" ht="32.25" customHeight="1" x14ac:dyDescent="0.25">
      <c r="A83" s="260"/>
      <c r="B83" s="260"/>
      <c r="C83" s="260"/>
      <c r="D83" s="260"/>
      <c r="E83" s="260"/>
      <c r="F83" s="260"/>
      <c r="G83" s="260"/>
      <c r="H83" s="260"/>
    </row>
  </sheetData>
  <mergeCells count="5">
    <mergeCell ref="A1:H1"/>
    <mergeCell ref="A2:H2"/>
    <mergeCell ref="A3:H3"/>
    <mergeCell ref="A4:H4"/>
    <mergeCell ref="B6:E6"/>
  </mergeCells>
  <phoneticPr fontId="11" type="noConversion"/>
  <pageMargins left="0.75" right="0.75" top="1" bottom="1" header="0.5" footer="0.5"/>
  <pageSetup orientation="portrait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41"/>
  <sheetViews>
    <sheetView tabSelected="1" workbookViewId="0">
      <selection activeCell="S7" sqref="S7"/>
    </sheetView>
  </sheetViews>
  <sheetFormatPr defaultRowHeight="15" x14ac:dyDescent="0.25"/>
  <cols>
    <col min="1" max="1" width="10.85546875" customWidth="1"/>
    <col min="2" max="2" width="8.85546875" customWidth="1"/>
    <col min="3" max="3" width="10.5703125" customWidth="1"/>
    <col min="4" max="4" width="10.28515625" bestFit="1" customWidth="1"/>
    <col min="5" max="5" width="4.85546875" customWidth="1"/>
    <col min="6" max="7" width="8.7109375" customWidth="1"/>
    <col min="8" max="8" width="10.140625" customWidth="1"/>
    <col min="9" max="9" width="10" customWidth="1"/>
    <col min="10" max="10" width="15.28515625" customWidth="1"/>
    <col min="11" max="11" width="4.42578125" style="15" customWidth="1"/>
    <col min="12" max="12" width="9.28515625" customWidth="1"/>
    <col min="13" max="13" width="9.7109375" customWidth="1"/>
    <col min="14" max="14" width="11.28515625" customWidth="1"/>
    <col min="15" max="15" width="11.5703125" customWidth="1"/>
    <col min="16" max="16" width="12.85546875" customWidth="1"/>
    <col min="19" max="19" width="11.5703125" bestFit="1" customWidth="1"/>
  </cols>
  <sheetData>
    <row r="1" spans="1:25" ht="19.5" customHeight="1" x14ac:dyDescent="0.25">
      <c r="A1" s="777" t="s">
        <v>249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9"/>
    </row>
    <row r="2" spans="1:25" ht="15" customHeight="1" thickBot="1" x14ac:dyDescent="0.3">
      <c r="A2" s="780"/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2"/>
    </row>
    <row r="3" spans="1:25" ht="16.5" thickBot="1" x14ac:dyDescent="0.3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</row>
    <row r="4" spans="1:25" ht="19.5" customHeight="1" x14ac:dyDescent="0.25">
      <c r="A4" s="792" t="s">
        <v>120</v>
      </c>
      <c r="B4" s="793"/>
      <c r="C4" s="793"/>
      <c r="D4" s="794"/>
      <c r="E4" s="650"/>
      <c r="F4" s="811" t="s">
        <v>241</v>
      </c>
      <c r="G4" s="812"/>
      <c r="H4" s="812"/>
      <c r="I4" s="812"/>
      <c r="J4" s="813"/>
      <c r="K4" s="480"/>
      <c r="L4" s="814" t="s">
        <v>243</v>
      </c>
      <c r="M4" s="815"/>
      <c r="N4" s="815"/>
      <c r="O4" s="815"/>
      <c r="P4" s="816"/>
      <c r="Q4" s="480"/>
      <c r="R4" s="480"/>
      <c r="S4" s="480"/>
      <c r="T4" s="480"/>
      <c r="U4" s="480"/>
      <c r="V4" s="480"/>
      <c r="W4" s="480"/>
      <c r="X4" s="480"/>
      <c r="Y4" s="480"/>
    </row>
    <row r="5" spans="1:25" ht="19.5" customHeight="1" x14ac:dyDescent="0.25">
      <c r="A5" s="795" t="s">
        <v>135</v>
      </c>
      <c r="B5" s="796"/>
      <c r="C5" s="796"/>
      <c r="D5" s="797"/>
      <c r="E5" s="480"/>
      <c r="F5" s="817" t="s">
        <v>242</v>
      </c>
      <c r="G5" s="818"/>
      <c r="H5" s="818"/>
      <c r="I5" s="818"/>
      <c r="J5" s="819"/>
      <c r="K5" s="510"/>
      <c r="L5" s="825" t="s">
        <v>247</v>
      </c>
      <c r="M5" s="826"/>
      <c r="N5" s="826"/>
      <c r="O5" s="826"/>
      <c r="P5" s="827"/>
      <c r="Q5" s="517"/>
      <c r="R5" s="517"/>
      <c r="S5" s="517"/>
      <c r="T5" s="517"/>
      <c r="U5" s="517"/>
      <c r="V5" s="517"/>
      <c r="W5" s="517"/>
      <c r="X5" s="517"/>
      <c r="Y5" s="517"/>
    </row>
    <row r="6" spans="1:25" ht="19.5" customHeight="1" x14ac:dyDescent="0.25">
      <c r="A6" s="798"/>
      <c r="B6" s="799"/>
      <c r="C6" s="799"/>
      <c r="D6" s="800"/>
      <c r="E6" s="480"/>
      <c r="F6" s="518"/>
      <c r="G6" s="518"/>
      <c r="H6" s="518"/>
      <c r="I6" s="518"/>
      <c r="J6" s="518"/>
      <c r="K6" s="510"/>
      <c r="P6" s="517"/>
      <c r="Q6" s="517"/>
      <c r="R6" s="517"/>
      <c r="S6" s="517"/>
      <c r="T6" s="517"/>
      <c r="U6" s="517"/>
      <c r="V6" s="517"/>
      <c r="W6" s="517"/>
      <c r="X6" s="517"/>
      <c r="Y6" s="517"/>
    </row>
    <row r="7" spans="1:25" ht="15.75" thickBot="1" x14ac:dyDescent="0.3">
      <c r="A7" s="801"/>
      <c r="B7" s="802"/>
      <c r="C7" s="802"/>
      <c r="D7" s="803"/>
      <c r="E7" s="68"/>
    </row>
    <row r="8" spans="1:25" ht="15.75" thickBot="1" x14ac:dyDescent="0.3">
      <c r="E8" s="87"/>
      <c r="F8" s="804" t="s">
        <v>188</v>
      </c>
      <c r="G8" s="805"/>
      <c r="H8" s="805"/>
      <c r="I8" s="805"/>
      <c r="J8" s="806"/>
      <c r="K8" s="648"/>
      <c r="L8" s="807" t="s">
        <v>188</v>
      </c>
      <c r="M8" s="808"/>
      <c r="N8" s="808"/>
      <c r="O8" s="808"/>
      <c r="P8" s="809"/>
      <c r="S8" s="471"/>
    </row>
    <row r="9" spans="1:25" x14ac:dyDescent="0.25">
      <c r="A9" s="783" t="s">
        <v>188</v>
      </c>
      <c r="B9" s="784"/>
      <c r="C9" s="784"/>
      <c r="D9" s="785"/>
      <c r="E9" s="87"/>
      <c r="F9" s="810"/>
      <c r="G9" s="752"/>
      <c r="H9" s="752"/>
      <c r="I9" s="752"/>
      <c r="J9" s="753"/>
      <c r="K9" s="648"/>
      <c r="L9" s="810"/>
      <c r="M9" s="752"/>
      <c r="N9" s="752"/>
      <c r="O9" s="752"/>
      <c r="P9" s="753"/>
      <c r="S9" s="1046"/>
    </row>
    <row r="10" spans="1:25" x14ac:dyDescent="0.25">
      <c r="A10" s="786" t="s">
        <v>123</v>
      </c>
      <c r="B10" s="787"/>
      <c r="C10" s="787"/>
      <c r="D10" s="788"/>
      <c r="E10" s="87"/>
      <c r="F10" s="481"/>
      <c r="G10" s="737" t="s">
        <v>137</v>
      </c>
      <c r="H10" s="738"/>
      <c r="I10" s="139"/>
      <c r="J10" s="482"/>
      <c r="K10" s="648"/>
      <c r="L10" s="481"/>
      <c r="M10" s="737" t="s">
        <v>137</v>
      </c>
      <c r="N10" s="738"/>
      <c r="O10" s="139"/>
      <c r="P10" s="482"/>
    </row>
    <row r="11" spans="1:25" x14ac:dyDescent="0.25">
      <c r="A11" s="672"/>
      <c r="B11" s="566"/>
      <c r="C11" s="566"/>
      <c r="D11" s="538"/>
      <c r="E11" s="87"/>
      <c r="F11" s="483"/>
      <c r="G11" s="167" t="s">
        <v>7</v>
      </c>
      <c r="H11" s="167" t="s">
        <v>6</v>
      </c>
      <c r="I11" s="167" t="s">
        <v>25</v>
      </c>
      <c r="J11" s="484" t="s">
        <v>26</v>
      </c>
      <c r="K11" s="175"/>
      <c r="L11" s="483"/>
      <c r="M11" s="167" t="s">
        <v>7</v>
      </c>
      <c r="N11" s="167" t="s">
        <v>6</v>
      </c>
      <c r="O11" s="167" t="s">
        <v>25</v>
      </c>
      <c r="P11" s="484" t="s">
        <v>26</v>
      </c>
    </row>
    <row r="12" spans="1:25" x14ac:dyDescent="0.25">
      <c r="A12" s="485"/>
      <c r="B12" s="61"/>
      <c r="C12" s="112" t="s">
        <v>0</v>
      </c>
      <c r="D12" s="486" t="s">
        <v>1</v>
      </c>
      <c r="E12" s="87"/>
      <c r="F12" s="485"/>
      <c r="G12" s="61"/>
      <c r="H12" s="61"/>
      <c r="I12" s="112"/>
      <c r="J12" s="486"/>
      <c r="K12" s="112"/>
      <c r="L12" s="485"/>
      <c r="M12" s="61"/>
      <c r="N12" s="61"/>
      <c r="O12" s="112"/>
      <c r="P12" s="486"/>
    </row>
    <row r="13" spans="1:25" x14ac:dyDescent="0.25">
      <c r="A13" s="485"/>
      <c r="B13" s="61"/>
      <c r="C13" s="178">
        <v>40360</v>
      </c>
      <c r="D13" s="511">
        <v>40360</v>
      </c>
      <c r="E13" s="87"/>
      <c r="F13" s="487" t="s">
        <v>3</v>
      </c>
      <c r="G13" s="547">
        <f>(I13/2)*6.6%</f>
        <v>56.234310000000001</v>
      </c>
      <c r="H13" s="547">
        <f>(I13/2)-G13</f>
        <v>795.80068999999992</v>
      </c>
      <c r="I13" s="578">
        <f>SUM(J13/12)</f>
        <v>1704.07</v>
      </c>
      <c r="J13" s="548">
        <f>(1704.07*12)</f>
        <v>20448.84</v>
      </c>
      <c r="K13" s="114"/>
      <c r="L13" s="487" t="s">
        <v>3</v>
      </c>
      <c r="M13" s="566">
        <v>0</v>
      </c>
      <c r="N13" s="566">
        <f>SUM(P13/24)</f>
        <v>758.14</v>
      </c>
      <c r="O13" s="558">
        <f>SUM(P13/12)</f>
        <v>1516.28</v>
      </c>
      <c r="P13" s="548">
        <f>(1516.28*12)</f>
        <v>18195.36</v>
      </c>
      <c r="Q13" s="471"/>
    </row>
    <row r="14" spans="1:25" x14ac:dyDescent="0.25">
      <c r="A14" s="485"/>
      <c r="B14" s="61"/>
      <c r="C14" s="115"/>
      <c r="D14" s="512"/>
      <c r="E14" s="87"/>
      <c r="F14" s="485"/>
      <c r="G14" s="566"/>
      <c r="H14" s="566"/>
      <c r="I14" s="558"/>
      <c r="J14" s="548"/>
      <c r="K14" s="115"/>
      <c r="L14" s="485"/>
      <c r="M14" s="566"/>
      <c r="N14" s="566"/>
      <c r="O14" s="558"/>
      <c r="P14" s="548"/>
    </row>
    <row r="15" spans="1:25" x14ac:dyDescent="0.25">
      <c r="A15" s="485" t="s">
        <v>213</v>
      </c>
      <c r="B15" s="61"/>
      <c r="C15" s="546">
        <v>663.98</v>
      </c>
      <c r="D15" s="539">
        <f>(349.6*12)/12</f>
        <v>349.60000000000008</v>
      </c>
      <c r="E15" s="87"/>
      <c r="F15" s="487" t="s">
        <v>2</v>
      </c>
      <c r="G15" s="547">
        <f>(I15/2)*6.6%</f>
        <v>24.802140000000001</v>
      </c>
      <c r="H15" s="547">
        <f>SUM(I15/2)-G15</f>
        <v>350.98786000000001</v>
      </c>
      <c r="I15" s="578">
        <f>SUM(J15/12)</f>
        <v>751.58</v>
      </c>
      <c r="J15" s="539">
        <f>751.58*12</f>
        <v>9018.9600000000009</v>
      </c>
      <c r="K15" s="117"/>
      <c r="L15" s="487" t="s">
        <v>2</v>
      </c>
      <c r="M15" s="566">
        <v>0</v>
      </c>
      <c r="N15" s="566">
        <f>SUM(P15/24)</f>
        <v>334.38</v>
      </c>
      <c r="O15" s="558">
        <f>SUM(P15/12)</f>
        <v>668.76</v>
      </c>
      <c r="P15" s="539">
        <f>(668.76*12)</f>
        <v>8025.12</v>
      </c>
      <c r="Q15" s="471"/>
    </row>
    <row r="16" spans="1:25" x14ac:dyDescent="0.25">
      <c r="A16" s="485" t="s">
        <v>5</v>
      </c>
      <c r="B16" s="61"/>
      <c r="C16" s="547">
        <f>C15/2</f>
        <v>331.99</v>
      </c>
      <c r="D16" s="539">
        <f>D15/2</f>
        <v>174.80000000000004</v>
      </c>
      <c r="E16" s="87"/>
      <c r="F16" s="489"/>
      <c r="G16" s="149"/>
      <c r="H16" s="149"/>
      <c r="I16" s="150"/>
      <c r="J16" s="490"/>
      <c r="K16" s="156"/>
      <c r="L16" s="489"/>
      <c r="M16" s="149"/>
      <c r="N16" s="149"/>
      <c r="O16" s="150"/>
      <c r="P16" s="490"/>
    </row>
    <row r="17" spans="1:20" x14ac:dyDescent="0.25">
      <c r="A17" s="485"/>
      <c r="B17" s="61"/>
      <c r="C17" s="117"/>
      <c r="D17" s="491"/>
      <c r="E17" s="87"/>
      <c r="F17" s="485"/>
      <c r="G17" s="61"/>
      <c r="H17" s="61"/>
      <c r="I17" s="117"/>
      <c r="J17" s="491"/>
      <c r="K17" s="156"/>
      <c r="L17" s="485"/>
      <c r="M17" s="61"/>
      <c r="N17" s="61"/>
      <c r="O17" s="117"/>
      <c r="P17" s="491"/>
    </row>
    <row r="18" spans="1:20" x14ac:dyDescent="0.25">
      <c r="A18" s="789" t="s">
        <v>122</v>
      </c>
      <c r="B18" s="790"/>
      <c r="C18" s="790"/>
      <c r="D18" s="791"/>
      <c r="E18" s="87"/>
      <c r="F18" s="485"/>
      <c r="G18" s="61"/>
      <c r="H18" s="61"/>
      <c r="I18" s="117"/>
      <c r="J18" s="491"/>
      <c r="K18" s="156"/>
      <c r="L18" s="485"/>
      <c r="M18" s="61"/>
      <c r="N18" s="61"/>
      <c r="O18" s="117"/>
      <c r="P18" s="491"/>
      <c r="Q18" s="95"/>
    </row>
    <row r="19" spans="1:20" ht="15.75" thickBot="1" x14ac:dyDescent="0.3">
      <c r="A19" s="492"/>
      <c r="B19" s="61"/>
      <c r="C19" s="121"/>
      <c r="D19" s="493"/>
      <c r="E19" s="87"/>
      <c r="F19" s="828" t="s">
        <v>122</v>
      </c>
      <c r="G19" s="829"/>
      <c r="H19" s="829"/>
      <c r="I19" s="829"/>
      <c r="J19" s="830"/>
      <c r="K19" s="164"/>
      <c r="L19" s="828" t="s">
        <v>122</v>
      </c>
      <c r="M19" s="829"/>
      <c r="N19" s="829"/>
      <c r="O19" s="829"/>
      <c r="P19" s="830"/>
    </row>
    <row r="20" spans="1:20" x14ac:dyDescent="0.25">
      <c r="A20" s="768" t="s">
        <v>134</v>
      </c>
      <c r="B20" s="769"/>
      <c r="C20" s="769"/>
      <c r="D20" s="770"/>
      <c r="E20" s="110"/>
      <c r="F20" s="492"/>
      <c r="G20" s="61"/>
      <c r="H20" s="61"/>
      <c r="I20" s="121"/>
      <c r="J20" s="493"/>
      <c r="K20" s="157"/>
      <c r="L20" s="492"/>
      <c r="M20" s="61"/>
      <c r="N20" s="61"/>
      <c r="O20" s="121"/>
      <c r="P20" s="493"/>
    </row>
    <row r="21" spans="1:20" ht="15" customHeight="1" x14ac:dyDescent="0.25">
      <c r="A21" s="771"/>
      <c r="B21" s="772"/>
      <c r="C21" s="772"/>
      <c r="D21" s="773"/>
      <c r="E21" s="92"/>
      <c r="F21" s="702" t="s">
        <v>138</v>
      </c>
      <c r="G21" s="703"/>
      <c r="H21" s="703"/>
      <c r="I21" s="703"/>
      <c r="J21" s="704"/>
      <c r="K21" s="117"/>
      <c r="L21" s="702" t="s">
        <v>138</v>
      </c>
      <c r="M21" s="703"/>
      <c r="N21" s="703"/>
      <c r="O21" s="703"/>
      <c r="P21" s="704"/>
      <c r="Q21" s="84"/>
    </row>
    <row r="22" spans="1:20" ht="15.75" thickBot="1" x14ac:dyDescent="0.3">
      <c r="A22" s="774"/>
      <c r="B22" s="775"/>
      <c r="C22" s="775"/>
      <c r="D22" s="776"/>
      <c r="E22" s="92"/>
      <c r="F22" s="497"/>
      <c r="G22" s="186"/>
      <c r="H22" s="186"/>
      <c r="I22" s="186"/>
      <c r="J22" s="498"/>
      <c r="K22" s="156"/>
      <c r="L22" s="497"/>
      <c r="M22" s="186"/>
      <c r="N22" s="186"/>
      <c r="O22" s="186"/>
      <c r="P22" s="498"/>
      <c r="Q22" s="84"/>
    </row>
    <row r="23" spans="1:20" ht="15.75" thickBot="1" x14ac:dyDescent="0.3">
      <c r="A23" s="513"/>
      <c r="B23" s="514"/>
      <c r="C23" s="515"/>
      <c r="D23" s="516"/>
      <c r="E23" s="108"/>
      <c r="F23" s="499"/>
      <c r="G23" s="184"/>
      <c r="H23" s="184"/>
      <c r="I23" s="184"/>
      <c r="J23" s="500"/>
      <c r="K23" s="158"/>
      <c r="L23" s="499"/>
      <c r="M23" s="184"/>
      <c r="N23" s="184"/>
      <c r="O23" s="184"/>
      <c r="P23" s="500"/>
      <c r="Q23" s="84"/>
    </row>
    <row r="24" spans="1:20" x14ac:dyDescent="0.25">
      <c r="E24" s="110"/>
      <c r="F24" s="501"/>
      <c r="G24" s="143"/>
      <c r="H24" s="143"/>
      <c r="I24" s="125"/>
      <c r="J24" s="491"/>
      <c r="K24" s="157"/>
      <c r="L24" s="501"/>
      <c r="M24" s="143"/>
      <c r="N24" s="143"/>
      <c r="O24" s="125"/>
      <c r="P24" s="491"/>
      <c r="Q24" s="84"/>
    </row>
    <row r="25" spans="1:20" ht="15" customHeight="1" x14ac:dyDescent="0.25">
      <c r="E25" s="92"/>
      <c r="F25" s="502"/>
      <c r="G25" s="143"/>
      <c r="H25" s="143"/>
      <c r="I25" s="125"/>
      <c r="J25" s="491"/>
      <c r="K25" s="156"/>
      <c r="L25" s="502"/>
      <c r="M25" s="143"/>
      <c r="N25" s="143"/>
      <c r="O25" s="125"/>
      <c r="P25" s="491"/>
      <c r="Q25" s="84"/>
      <c r="R25" s="283"/>
      <c r="T25" s="471"/>
    </row>
    <row r="26" spans="1:20" ht="15.75" customHeight="1" x14ac:dyDescent="0.25">
      <c r="E26" s="92"/>
      <c r="F26" s="828" t="s">
        <v>144</v>
      </c>
      <c r="G26" s="829"/>
      <c r="H26" s="829"/>
      <c r="I26" s="829"/>
      <c r="J26" s="830"/>
      <c r="K26" s="156"/>
      <c r="L26" s="828" t="s">
        <v>144</v>
      </c>
      <c r="M26" s="829"/>
      <c r="N26" s="829"/>
      <c r="O26" s="829"/>
      <c r="P26" s="830"/>
      <c r="Q26" s="84"/>
    </row>
    <row r="27" spans="1:20" ht="15.75" customHeight="1" x14ac:dyDescent="0.25">
      <c r="E27" s="108"/>
      <c r="F27" s="503"/>
      <c r="G27" s="145"/>
      <c r="H27" s="646" t="s">
        <v>202</v>
      </c>
      <c r="I27" s="91"/>
      <c r="J27" s="540" t="s">
        <v>5</v>
      </c>
      <c r="K27" s="159"/>
      <c r="L27" s="503"/>
      <c r="M27" s="145"/>
      <c r="N27" s="646" t="s">
        <v>202</v>
      </c>
      <c r="O27" s="91"/>
      <c r="P27" s="540" t="s">
        <v>5</v>
      </c>
      <c r="Q27" s="84"/>
    </row>
    <row r="28" spans="1:20" x14ac:dyDescent="0.25">
      <c r="A28" s="69"/>
      <c r="B28" s="109"/>
      <c r="C28" s="109"/>
      <c r="E28" s="110"/>
      <c r="F28" s="487" t="s">
        <v>3</v>
      </c>
      <c r="G28" s="145"/>
      <c r="H28" s="566">
        <v>3300</v>
      </c>
      <c r="I28" s="556"/>
      <c r="J28" s="538">
        <f>H28/24</f>
        <v>137.5</v>
      </c>
      <c r="K28" s="112"/>
      <c r="L28" s="487" t="s">
        <v>3</v>
      </c>
      <c r="M28" s="145"/>
      <c r="N28" s="566">
        <v>4203.8599999999997</v>
      </c>
      <c r="O28" s="556"/>
      <c r="P28" s="538">
        <f>N28/24</f>
        <v>175.16083333333333</v>
      </c>
      <c r="Q28" s="84"/>
    </row>
    <row r="29" spans="1:20" x14ac:dyDescent="0.25">
      <c r="A29" s="820"/>
      <c r="B29" s="820"/>
      <c r="C29" s="820"/>
      <c r="D29" s="820"/>
      <c r="E29" s="110"/>
      <c r="F29" s="505"/>
      <c r="G29" s="646"/>
      <c r="H29" s="567"/>
      <c r="I29" s="556"/>
      <c r="J29" s="539"/>
      <c r="K29" s="156"/>
      <c r="L29" s="505"/>
      <c r="M29" s="646"/>
      <c r="N29" s="567"/>
      <c r="O29" s="556"/>
      <c r="P29" s="539"/>
      <c r="Q29" s="84"/>
      <c r="R29" s="283"/>
      <c r="T29" s="471"/>
    </row>
    <row r="30" spans="1:20" x14ac:dyDescent="0.25">
      <c r="A30" s="821"/>
      <c r="B30" s="821"/>
      <c r="C30" s="821"/>
      <c r="D30" s="821"/>
      <c r="E30" s="92"/>
      <c r="F30" s="487" t="s">
        <v>2</v>
      </c>
      <c r="G30" s="143"/>
      <c r="H30" s="566">
        <v>1650</v>
      </c>
      <c r="I30" s="556"/>
      <c r="J30" s="538">
        <f>H30/24</f>
        <v>68.75</v>
      </c>
      <c r="K30" s="156"/>
      <c r="L30" s="487" t="s">
        <v>2</v>
      </c>
      <c r="M30" s="143"/>
      <c r="N30" s="566">
        <v>2048.59</v>
      </c>
      <c r="O30" s="556"/>
      <c r="P30" s="539">
        <f>N30/24</f>
        <v>85.357916666666668</v>
      </c>
      <c r="Q30" s="84"/>
    </row>
    <row r="31" spans="1:20" x14ac:dyDescent="0.25">
      <c r="E31" s="108"/>
      <c r="F31" s="503"/>
      <c r="G31" s="145"/>
      <c r="H31" s="173"/>
      <c r="I31" s="125"/>
      <c r="J31" s="504"/>
      <c r="K31" s="159"/>
      <c r="L31" s="503"/>
      <c r="M31" s="145"/>
      <c r="N31" s="173"/>
      <c r="O31" s="125"/>
      <c r="P31" s="504"/>
      <c r="Q31" s="84"/>
    </row>
    <row r="32" spans="1:20" x14ac:dyDescent="0.25">
      <c r="E32" s="110"/>
      <c r="F32" s="822" t="s">
        <v>203</v>
      </c>
      <c r="G32" s="823"/>
      <c r="H32" s="823"/>
      <c r="I32" s="823"/>
      <c r="J32" s="824"/>
      <c r="K32" s="112"/>
      <c r="L32" s="822" t="s">
        <v>203</v>
      </c>
      <c r="M32" s="823"/>
      <c r="N32" s="823"/>
      <c r="O32" s="823"/>
      <c r="P32" s="824"/>
      <c r="Q32" s="84"/>
    </row>
    <row r="33" spans="5:20" ht="15" customHeight="1" x14ac:dyDescent="0.25">
      <c r="E33" s="92"/>
      <c r="F33" s="822" t="s">
        <v>204</v>
      </c>
      <c r="G33" s="823"/>
      <c r="H33" s="823"/>
      <c r="I33" s="823"/>
      <c r="J33" s="824"/>
      <c r="K33" s="543"/>
      <c r="L33" s="822" t="s">
        <v>204</v>
      </c>
      <c r="M33" s="823"/>
      <c r="N33" s="823"/>
      <c r="O33" s="823"/>
      <c r="P33" s="824"/>
      <c r="Q33" s="84"/>
      <c r="R33" s="283"/>
      <c r="T33" s="471"/>
    </row>
    <row r="34" spans="5:20" ht="15.75" thickBot="1" x14ac:dyDescent="0.3">
      <c r="E34" s="92"/>
      <c r="F34" s="506"/>
      <c r="G34" s="507"/>
      <c r="H34" s="507"/>
      <c r="I34" s="508"/>
      <c r="J34" s="509"/>
      <c r="K34" s="160"/>
      <c r="L34" s="506"/>
      <c r="M34" s="507"/>
      <c r="N34" s="507"/>
      <c r="O34" s="508"/>
      <c r="P34" s="509"/>
      <c r="Q34" s="84"/>
    </row>
    <row r="35" spans="5:20" x14ac:dyDescent="0.25">
      <c r="E35" s="108"/>
      <c r="F35" s="124"/>
      <c r="G35" s="143"/>
      <c r="H35" s="143"/>
      <c r="I35" s="125"/>
      <c r="J35" s="156"/>
      <c r="K35" s="161"/>
      <c r="L35" s="125"/>
      <c r="M35" s="145"/>
      <c r="N35" s="91"/>
      <c r="O35" s="161"/>
      <c r="P35" s="84"/>
      <c r="Q35" s="84"/>
    </row>
    <row r="36" spans="5:20" x14ac:dyDescent="0.25">
      <c r="E36" s="110"/>
      <c r="F36" s="124"/>
      <c r="G36" s="143"/>
      <c r="H36" s="143"/>
      <c r="I36" s="125"/>
      <c r="J36" s="156"/>
      <c r="K36" s="112"/>
      <c r="L36" s="189"/>
      <c r="M36" s="143"/>
      <c r="N36" s="164"/>
      <c r="O36" s="164"/>
      <c r="P36" s="84"/>
      <c r="Q36" s="84"/>
    </row>
    <row r="37" spans="5:20" x14ac:dyDescent="0.25">
      <c r="E37" s="92"/>
      <c r="F37" s="15"/>
      <c r="G37" s="15"/>
      <c r="H37" s="15"/>
      <c r="I37" s="15"/>
      <c r="J37" s="15"/>
      <c r="K37" s="156"/>
      <c r="L37" s="91"/>
      <c r="M37" s="143"/>
      <c r="N37" s="156"/>
      <c r="O37" s="156"/>
      <c r="P37" s="84"/>
      <c r="Q37" s="84"/>
      <c r="R37" s="283"/>
      <c r="T37" s="471"/>
    </row>
    <row r="38" spans="5:20" x14ac:dyDescent="0.25">
      <c r="E38" s="92"/>
      <c r="K38" s="156"/>
      <c r="L38" s="91"/>
      <c r="M38" s="143"/>
      <c r="N38" s="279"/>
      <c r="O38" s="156"/>
      <c r="P38" s="84"/>
      <c r="Q38" s="84"/>
    </row>
    <row r="39" spans="5:20" x14ac:dyDescent="0.25">
      <c r="E39" s="75"/>
      <c r="L39" s="69"/>
      <c r="M39" s="68"/>
      <c r="N39" s="68"/>
    </row>
    <row r="40" spans="5:20" x14ac:dyDescent="0.25">
      <c r="E40" s="68"/>
      <c r="L40" s="69"/>
      <c r="M40" s="68"/>
      <c r="N40" s="68"/>
    </row>
    <row r="41" spans="5:20" ht="15" customHeight="1" x14ac:dyDescent="0.25">
      <c r="L41" s="62"/>
    </row>
  </sheetData>
  <mergeCells count="29">
    <mergeCell ref="L5:P5"/>
    <mergeCell ref="F26:J26"/>
    <mergeCell ref="L26:P26"/>
    <mergeCell ref="G10:H10"/>
    <mergeCell ref="M10:N10"/>
    <mergeCell ref="F19:J19"/>
    <mergeCell ref="L19:P19"/>
    <mergeCell ref="A29:D29"/>
    <mergeCell ref="A30:D30"/>
    <mergeCell ref="F32:J32"/>
    <mergeCell ref="L32:P32"/>
    <mergeCell ref="F33:J33"/>
    <mergeCell ref="L33:P33"/>
    <mergeCell ref="A20:D22"/>
    <mergeCell ref="A1:P2"/>
    <mergeCell ref="A9:D9"/>
    <mergeCell ref="A10:D10"/>
    <mergeCell ref="A18:D18"/>
    <mergeCell ref="F21:J21"/>
    <mergeCell ref="L21:P21"/>
    <mergeCell ref="A4:D4"/>
    <mergeCell ref="A5:D7"/>
    <mergeCell ref="F8:J8"/>
    <mergeCell ref="L8:P8"/>
    <mergeCell ref="F9:J9"/>
    <mergeCell ref="L9:P9"/>
    <mergeCell ref="F4:J4"/>
    <mergeCell ref="L4:P4"/>
    <mergeCell ref="F5:J5"/>
  </mergeCells>
  <pageMargins left="0.74" right="0.14000000000000001" top="0.23" bottom="0.24" header="0.25" footer="0.19"/>
  <pageSetup scale="81" orientation="landscape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85"/>
  <sheetViews>
    <sheetView workbookViewId="0">
      <selection activeCell="A3" sqref="A3:H3"/>
    </sheetView>
  </sheetViews>
  <sheetFormatPr defaultRowHeight="15" x14ac:dyDescent="0.25"/>
  <cols>
    <col min="1" max="1" width="18.5703125" bestFit="1" customWidth="1"/>
    <col min="8" max="8" width="11.42578125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9" ht="18.75" x14ac:dyDescent="0.3">
      <c r="A3" s="1036" t="s">
        <v>63</v>
      </c>
      <c r="B3" s="1036"/>
      <c r="C3" s="1036"/>
      <c r="D3" s="1036"/>
      <c r="E3" s="1036"/>
      <c r="F3" s="1036"/>
      <c r="G3" s="1036"/>
      <c r="H3" s="1036"/>
    </row>
    <row r="4" spans="1:9" x14ac:dyDescent="0.25">
      <c r="A4" s="716" t="s">
        <v>23</v>
      </c>
      <c r="B4" s="1012"/>
      <c r="C4" s="1012"/>
      <c r="D4" s="1012"/>
      <c r="E4" s="1012"/>
      <c r="F4" s="1012"/>
      <c r="G4" s="1012"/>
      <c r="H4" s="1012"/>
    </row>
    <row r="5" spans="1:9" x14ac:dyDescent="0.25">
      <c r="A5" s="332"/>
      <c r="B5" s="332"/>
      <c r="C5" s="332"/>
      <c r="D5" s="332"/>
      <c r="E5" s="332"/>
      <c r="F5" s="332"/>
      <c r="G5" s="332"/>
      <c r="H5" s="332"/>
      <c r="I5" s="332"/>
    </row>
    <row r="6" spans="1:9" x14ac:dyDescent="0.25">
      <c r="A6" s="311" t="s">
        <v>174</v>
      </c>
      <c r="B6" s="1007" t="s">
        <v>54</v>
      </c>
      <c r="C6" s="1007"/>
      <c r="D6" s="1007"/>
      <c r="E6" s="1008"/>
      <c r="F6" s="355"/>
      <c r="G6" s="355"/>
      <c r="H6" s="355"/>
      <c r="I6" s="332"/>
    </row>
    <row r="7" spans="1:9" x14ac:dyDescent="0.25">
      <c r="A7" s="317" t="s">
        <v>164</v>
      </c>
      <c r="B7" s="334">
        <v>0</v>
      </c>
      <c r="C7" s="334">
        <v>1</v>
      </c>
      <c r="D7" s="356" t="s">
        <v>52</v>
      </c>
      <c r="E7" s="336" t="s">
        <v>53</v>
      </c>
      <c r="F7" s="355"/>
      <c r="G7" s="355"/>
      <c r="H7" s="355"/>
      <c r="I7" s="332"/>
    </row>
    <row r="8" spans="1:9" x14ac:dyDescent="0.25">
      <c r="A8" s="325" t="s">
        <v>156</v>
      </c>
      <c r="B8" s="442">
        <v>23.34</v>
      </c>
      <c r="C8" s="442">
        <v>23.84</v>
      </c>
      <c r="D8" s="442">
        <v>24.34</v>
      </c>
      <c r="E8" s="443">
        <v>24.44</v>
      </c>
      <c r="F8" s="355"/>
      <c r="G8" s="355"/>
      <c r="H8" s="355"/>
      <c r="I8" s="332"/>
    </row>
    <row r="9" spans="1:9" x14ac:dyDescent="0.25">
      <c r="A9" s="444" t="s">
        <v>63</v>
      </c>
      <c r="B9" s="318">
        <v>15.68</v>
      </c>
      <c r="C9" s="318">
        <v>16.18</v>
      </c>
      <c r="D9" s="318">
        <v>16.68</v>
      </c>
      <c r="E9" s="319">
        <v>16.78</v>
      </c>
      <c r="F9" s="355"/>
      <c r="G9" s="355"/>
      <c r="H9" s="355"/>
      <c r="I9" s="332"/>
    </row>
    <row r="10" spans="1:9" x14ac:dyDescent="0.25">
      <c r="A10" s="332"/>
      <c r="B10" s="332"/>
      <c r="C10" s="332"/>
      <c r="D10" s="332"/>
      <c r="E10" s="332"/>
      <c r="F10" s="355"/>
      <c r="G10" s="355"/>
      <c r="H10" s="355"/>
      <c r="I10" s="332"/>
    </row>
    <row r="11" spans="1:9" x14ac:dyDescent="0.25">
      <c r="A11" s="326"/>
      <c r="B11" s="366"/>
      <c r="C11" s="366"/>
      <c r="D11" s="366"/>
      <c r="E11" s="366"/>
      <c r="F11" s="355"/>
      <c r="G11" s="355"/>
      <c r="H11" s="355"/>
      <c r="I11" s="332"/>
    </row>
    <row r="12" spans="1:9" x14ac:dyDescent="0.25">
      <c r="A12" s="320" t="s">
        <v>9</v>
      </c>
      <c r="B12" s="321"/>
      <c r="C12" s="321"/>
      <c r="D12" s="321"/>
      <c r="E12" s="321"/>
      <c r="F12" s="321"/>
      <c r="G12" s="321"/>
      <c r="H12" s="322"/>
      <c r="I12" s="332"/>
    </row>
    <row r="13" spans="1:9" x14ac:dyDescent="0.25">
      <c r="A13" s="313"/>
      <c r="B13" s="323"/>
      <c r="C13" s="323"/>
      <c r="D13" s="323"/>
      <c r="E13" s="323"/>
      <c r="F13" s="323"/>
      <c r="G13" s="323"/>
      <c r="H13" s="324"/>
      <c r="I13" s="332"/>
    </row>
    <row r="14" spans="1:9" x14ac:dyDescent="0.25">
      <c r="A14" s="325" t="s">
        <v>10</v>
      </c>
      <c r="B14" s="326" t="s">
        <v>151</v>
      </c>
      <c r="C14" s="326"/>
      <c r="D14" s="326"/>
      <c r="E14" s="326"/>
      <c r="F14" s="326"/>
      <c r="G14" s="326"/>
      <c r="H14" s="327"/>
      <c r="I14" s="332"/>
    </row>
    <row r="15" spans="1:9" x14ac:dyDescent="0.25">
      <c r="A15" s="325" t="s">
        <v>4</v>
      </c>
      <c r="B15" s="326" t="s">
        <v>151</v>
      </c>
      <c r="C15" s="326"/>
      <c r="D15" s="326"/>
      <c r="E15" s="326"/>
      <c r="F15" s="326"/>
      <c r="G15" s="326"/>
      <c r="H15" s="327"/>
      <c r="I15" s="332"/>
    </row>
    <row r="16" spans="1:9" x14ac:dyDescent="0.25">
      <c r="A16" s="325" t="s">
        <v>14</v>
      </c>
      <c r="B16" s="326" t="s">
        <v>42</v>
      </c>
      <c r="C16" s="326"/>
      <c r="D16" s="326"/>
      <c r="E16" s="326"/>
      <c r="F16" s="326"/>
      <c r="G16" s="326"/>
      <c r="H16" s="327"/>
      <c r="I16" s="332"/>
    </row>
    <row r="17" spans="1:9" x14ac:dyDescent="0.25">
      <c r="A17" s="325" t="s">
        <v>60</v>
      </c>
      <c r="B17" s="326" t="s">
        <v>160</v>
      </c>
      <c r="C17" s="326"/>
      <c r="D17" s="326"/>
      <c r="E17" s="326"/>
      <c r="F17" s="326"/>
      <c r="G17" s="326"/>
      <c r="H17" s="327"/>
      <c r="I17" s="332"/>
    </row>
    <row r="18" spans="1:9" x14ac:dyDescent="0.25">
      <c r="A18" s="325" t="s">
        <v>79</v>
      </c>
      <c r="B18" s="326" t="s">
        <v>175</v>
      </c>
      <c r="C18" s="326"/>
      <c r="D18" s="326"/>
      <c r="E18" s="328"/>
      <c r="F18" s="326"/>
      <c r="G18" s="326"/>
      <c r="H18" s="327"/>
      <c r="I18" s="332"/>
    </row>
    <row r="19" spans="1:9" x14ac:dyDescent="0.25">
      <c r="A19" s="325" t="s">
        <v>11</v>
      </c>
      <c r="B19" s="326" t="s">
        <v>12</v>
      </c>
      <c r="C19" s="326"/>
      <c r="D19" s="326"/>
      <c r="E19" s="326"/>
      <c r="F19" s="326"/>
      <c r="G19" s="326"/>
      <c r="H19" s="327"/>
      <c r="I19" s="332"/>
    </row>
    <row r="20" spans="1:9" x14ac:dyDescent="0.25">
      <c r="A20" s="317" t="s">
        <v>13</v>
      </c>
      <c r="B20" s="329" t="s">
        <v>12</v>
      </c>
      <c r="C20" s="329"/>
      <c r="D20" s="329"/>
      <c r="E20" s="329"/>
      <c r="F20" s="329"/>
      <c r="G20" s="329"/>
      <c r="H20" s="330"/>
      <c r="I20" s="332"/>
    </row>
    <row r="21" spans="1:9" x14ac:dyDescent="0.25">
      <c r="A21" s="331"/>
      <c r="B21" s="331"/>
      <c r="C21" s="331"/>
      <c r="D21" s="331"/>
      <c r="E21" s="331"/>
      <c r="F21" s="331"/>
      <c r="G21" s="331"/>
      <c r="H21" s="331"/>
      <c r="I21" s="332"/>
    </row>
    <row r="22" spans="1:9" x14ac:dyDescent="0.25">
      <c r="A22" s="311" t="s">
        <v>16</v>
      </c>
      <c r="B22" s="321"/>
      <c r="C22" s="321"/>
      <c r="D22" s="321"/>
      <c r="E22" s="321"/>
      <c r="F22" s="322"/>
      <c r="G22" s="323"/>
      <c r="H22" s="323"/>
      <c r="I22" s="332"/>
    </row>
    <row r="23" spans="1:9" x14ac:dyDescent="0.25">
      <c r="A23" s="363"/>
      <c r="B23" s="334" t="s">
        <v>32</v>
      </c>
      <c r="C23" s="335"/>
      <c r="D23" s="334" t="s">
        <v>19</v>
      </c>
      <c r="E23" s="335"/>
      <c r="F23" s="336" t="s">
        <v>33</v>
      </c>
      <c r="G23" s="332"/>
      <c r="H23" s="332"/>
      <c r="I23" s="332"/>
    </row>
    <row r="24" spans="1:9" x14ac:dyDescent="0.25">
      <c r="A24" s="325" t="s">
        <v>31</v>
      </c>
      <c r="B24" s="326"/>
      <c r="C24" s="326"/>
      <c r="D24" s="326"/>
      <c r="E24" s="326"/>
      <c r="F24" s="327"/>
      <c r="G24" s="332"/>
      <c r="H24" s="332"/>
      <c r="I24" s="332"/>
    </row>
    <row r="25" spans="1:9" x14ac:dyDescent="0.25">
      <c r="A25" s="337" t="s">
        <v>34</v>
      </c>
      <c r="B25" s="326">
        <v>10</v>
      </c>
      <c r="C25" s="326"/>
      <c r="D25" s="326">
        <v>1</v>
      </c>
      <c r="E25" s="326"/>
      <c r="F25" s="327">
        <v>2</v>
      </c>
      <c r="G25" s="332"/>
      <c r="H25" s="332"/>
      <c r="I25" s="332"/>
    </row>
    <row r="26" spans="1:9" x14ac:dyDescent="0.25">
      <c r="A26" s="337">
        <v>2</v>
      </c>
      <c r="B26" s="326">
        <v>10</v>
      </c>
      <c r="C26" s="326"/>
      <c r="D26" s="326">
        <v>1</v>
      </c>
      <c r="E26" s="326"/>
      <c r="F26" s="327">
        <v>2</v>
      </c>
      <c r="G26" s="332"/>
      <c r="H26" s="332"/>
      <c r="I26" s="332"/>
    </row>
    <row r="27" spans="1:9" x14ac:dyDescent="0.25">
      <c r="A27" s="338" t="s">
        <v>36</v>
      </c>
      <c r="B27" s="326">
        <v>10</v>
      </c>
      <c r="C27" s="326"/>
      <c r="D27" s="326">
        <v>1</v>
      </c>
      <c r="E27" s="326"/>
      <c r="F27" s="327">
        <v>2</v>
      </c>
      <c r="G27" s="332"/>
      <c r="H27" s="332"/>
      <c r="I27" s="332"/>
    </row>
    <row r="28" spans="1:9" x14ac:dyDescent="0.25">
      <c r="A28" s="338" t="s">
        <v>37</v>
      </c>
      <c r="B28" s="326">
        <v>10</v>
      </c>
      <c r="C28" s="326"/>
      <c r="D28" s="326">
        <v>2</v>
      </c>
      <c r="E28" s="326"/>
      <c r="F28" s="327">
        <v>3</v>
      </c>
      <c r="G28" s="332"/>
      <c r="H28" s="332"/>
      <c r="I28" s="332"/>
    </row>
    <row r="29" spans="1:9" x14ac:dyDescent="0.25">
      <c r="A29" s="339" t="s">
        <v>35</v>
      </c>
      <c r="B29" s="326">
        <v>10</v>
      </c>
      <c r="C29" s="326"/>
      <c r="D29" s="326">
        <v>2</v>
      </c>
      <c r="E29" s="326"/>
      <c r="F29" s="327">
        <v>4</v>
      </c>
      <c r="G29" s="332"/>
      <c r="H29" s="332"/>
      <c r="I29" s="332"/>
    </row>
    <row r="30" spans="1:9" x14ac:dyDescent="0.25">
      <c r="A30" s="325" t="s">
        <v>38</v>
      </c>
      <c r="B30" s="326">
        <v>10</v>
      </c>
      <c r="C30" s="326"/>
      <c r="D30" s="326">
        <v>2</v>
      </c>
      <c r="E30" s="326"/>
      <c r="F30" s="327">
        <v>5</v>
      </c>
      <c r="G30" s="332"/>
      <c r="H30" s="332"/>
      <c r="I30" s="332"/>
    </row>
    <row r="31" spans="1:9" x14ac:dyDescent="0.25">
      <c r="A31" s="340" t="s">
        <v>39</v>
      </c>
      <c r="B31" s="341">
        <v>10</v>
      </c>
      <c r="C31" s="341"/>
      <c r="D31" s="342">
        <v>2</v>
      </c>
      <c r="E31" s="341"/>
      <c r="F31" s="343">
        <v>6</v>
      </c>
      <c r="G31" s="332"/>
      <c r="H31" s="332"/>
      <c r="I31" s="332"/>
    </row>
    <row r="32" spans="1:9" x14ac:dyDescent="0.25">
      <c r="A32" s="344" t="s">
        <v>40</v>
      </c>
      <c r="B32" s="345">
        <v>10</v>
      </c>
      <c r="C32" s="345"/>
      <c r="D32" s="346">
        <v>2</v>
      </c>
      <c r="E32" s="345"/>
      <c r="F32" s="347">
        <v>7</v>
      </c>
      <c r="G32" s="332"/>
      <c r="H32" s="332"/>
      <c r="I32" s="332"/>
    </row>
    <row r="33" spans="1:9" x14ac:dyDescent="0.25">
      <c r="A33" s="341"/>
      <c r="B33" s="341"/>
      <c r="C33" s="341"/>
      <c r="D33" s="342"/>
      <c r="E33" s="341"/>
      <c r="F33" s="341"/>
      <c r="G33" s="341"/>
      <c r="H33" s="341"/>
      <c r="I33" s="332"/>
    </row>
    <row r="34" spans="1:9" x14ac:dyDescent="0.25">
      <c r="A34" s="332"/>
      <c r="B34" s="332"/>
      <c r="C34" s="332"/>
      <c r="D34" s="332"/>
      <c r="E34" s="332"/>
      <c r="F34" s="332"/>
      <c r="G34" s="332"/>
      <c r="H34" s="332"/>
      <c r="I34" s="332"/>
    </row>
    <row r="35" spans="1:9" x14ac:dyDescent="0.25">
      <c r="A35" s="332"/>
      <c r="B35" s="332"/>
      <c r="C35" s="332"/>
      <c r="D35" s="332"/>
      <c r="E35" s="332"/>
      <c r="F35" s="332"/>
      <c r="G35" s="332"/>
      <c r="H35" s="332"/>
      <c r="I35" s="332"/>
    </row>
    <row r="36" spans="1:9" x14ac:dyDescent="0.25">
      <c r="A36" s="332"/>
      <c r="B36" s="332"/>
      <c r="C36" s="332"/>
      <c r="D36" s="332"/>
      <c r="E36" s="332"/>
      <c r="F36" s="332"/>
      <c r="G36" s="332"/>
      <c r="H36" s="332"/>
      <c r="I36" s="332"/>
    </row>
    <row r="37" spans="1:9" x14ac:dyDescent="0.25">
      <c r="A37" s="332"/>
      <c r="B37" s="332"/>
      <c r="C37" s="332"/>
      <c r="D37" s="332"/>
      <c r="E37" s="332"/>
      <c r="F37" s="332"/>
      <c r="G37" s="332"/>
      <c r="H37" s="332"/>
      <c r="I37" s="332"/>
    </row>
    <row r="45" spans="1:9" ht="15.75" x14ac:dyDescent="0.25">
      <c r="A45" s="257"/>
      <c r="B45" s="257"/>
      <c r="C45" s="257"/>
      <c r="D45" s="257"/>
      <c r="E45" s="257"/>
      <c r="F45" s="257"/>
      <c r="G45" s="257"/>
      <c r="H45" s="257"/>
    </row>
    <row r="46" spans="1:9" x14ac:dyDescent="0.25">
      <c r="A46" s="258"/>
      <c r="B46" s="258"/>
      <c r="C46" s="258"/>
      <c r="D46" s="258"/>
      <c r="E46" s="258"/>
      <c r="F46" s="258"/>
      <c r="G46" s="258"/>
      <c r="H46" s="258"/>
    </row>
    <row r="47" spans="1:9" x14ac:dyDescent="0.25">
      <c r="A47" s="256"/>
      <c r="B47" s="256"/>
      <c r="C47" s="256"/>
      <c r="D47" s="256"/>
      <c r="E47" s="256"/>
      <c r="F47" s="256"/>
      <c r="G47" s="256"/>
      <c r="H47" s="256"/>
    </row>
    <row r="48" spans="1:9" x14ac:dyDescent="0.25">
      <c r="A48" s="25"/>
      <c r="B48" s="25"/>
      <c r="C48" s="25"/>
      <c r="D48" s="25"/>
      <c r="E48" s="25"/>
      <c r="F48" s="25"/>
      <c r="G48" s="29"/>
      <c r="H48" s="29"/>
    </row>
    <row r="49" spans="1:8" x14ac:dyDescent="0.25">
      <c r="A49" s="25"/>
      <c r="B49" s="25"/>
      <c r="C49" s="25"/>
      <c r="D49" s="25"/>
      <c r="E49" s="25"/>
      <c r="F49" s="25"/>
      <c r="G49" s="29"/>
      <c r="H49" s="29"/>
    </row>
    <row r="50" spans="1:8" x14ac:dyDescent="0.25">
      <c r="A50" s="25"/>
      <c r="B50" s="25"/>
      <c r="C50" s="29"/>
      <c r="D50" s="29"/>
      <c r="E50" s="29"/>
      <c r="F50" s="72"/>
      <c r="G50" s="29"/>
      <c r="H50" s="29"/>
    </row>
    <row r="51" spans="1:8" x14ac:dyDescent="0.25">
      <c r="A51" s="100"/>
      <c r="B51" s="89"/>
      <c r="C51" s="47"/>
      <c r="D51" s="47"/>
      <c r="E51" s="47"/>
      <c r="F51" s="101"/>
      <c r="G51" s="47"/>
      <c r="H51" s="47"/>
    </row>
    <row r="52" spans="1:8" x14ac:dyDescent="0.25">
      <c r="A52" s="89"/>
      <c r="B52" s="89"/>
      <c r="C52" s="47"/>
      <c r="D52" s="47"/>
      <c r="E52" s="47"/>
      <c r="F52" s="101"/>
      <c r="G52" s="47"/>
      <c r="H52" s="47"/>
    </row>
    <row r="53" spans="1:8" x14ac:dyDescent="0.25">
      <c r="A53" s="89"/>
      <c r="B53" s="89"/>
      <c r="C53" s="47"/>
      <c r="D53" s="47"/>
      <c r="E53" s="47"/>
      <c r="F53" s="101"/>
      <c r="G53" s="47"/>
      <c r="H53" s="47"/>
    </row>
    <row r="54" spans="1:8" ht="15.75" x14ac:dyDescent="0.25">
      <c r="A54" s="259"/>
      <c r="B54" s="259"/>
      <c r="C54" s="259"/>
      <c r="D54" s="259"/>
      <c r="E54" s="259"/>
      <c r="F54" s="259"/>
      <c r="G54" s="259"/>
      <c r="H54" s="259"/>
    </row>
    <row r="55" spans="1:8" x14ac:dyDescent="0.25">
      <c r="A55" s="100"/>
      <c r="B55" s="89"/>
      <c r="C55" s="89"/>
      <c r="D55" s="102"/>
      <c r="E55" s="100"/>
      <c r="F55" s="102"/>
      <c r="G55" s="89"/>
      <c r="H55" s="89"/>
    </row>
    <row r="56" spans="1:8" x14ac:dyDescent="0.25">
      <c r="A56" s="89"/>
      <c r="B56" s="89"/>
      <c r="C56" s="89"/>
      <c r="D56" s="47"/>
      <c r="E56" s="89"/>
      <c r="F56" s="103"/>
      <c r="G56" s="89"/>
      <c r="H56" s="89"/>
    </row>
    <row r="57" spans="1:8" x14ac:dyDescent="0.25">
      <c r="A57" s="89"/>
      <c r="B57" s="89"/>
      <c r="C57" s="89"/>
      <c r="D57" s="88"/>
      <c r="E57" s="89"/>
      <c r="F57" s="90"/>
      <c r="G57" s="89"/>
      <c r="H57" s="89"/>
    </row>
    <row r="58" spans="1:8" x14ac:dyDescent="0.25">
      <c r="A58" s="104"/>
      <c r="B58" s="89"/>
      <c r="C58" s="89"/>
      <c r="D58" s="47"/>
      <c r="E58" s="89"/>
      <c r="F58" s="103"/>
      <c r="G58" s="89"/>
      <c r="H58" s="89"/>
    </row>
    <row r="59" spans="1:8" x14ac:dyDescent="0.25">
      <c r="A59" s="104"/>
      <c r="B59" s="104"/>
      <c r="C59" s="89"/>
      <c r="D59" s="88"/>
      <c r="E59" s="89"/>
      <c r="F59" s="103"/>
      <c r="G59" s="89"/>
      <c r="H59" s="89"/>
    </row>
    <row r="60" spans="1:8" x14ac:dyDescent="0.25">
      <c r="A60" s="89"/>
      <c r="B60" s="89"/>
      <c r="C60" s="89"/>
      <c r="D60" s="88"/>
      <c r="E60" s="89"/>
      <c r="F60" s="89"/>
      <c r="G60" s="89"/>
      <c r="H60" s="89"/>
    </row>
    <row r="61" spans="1:8" x14ac:dyDescent="0.25">
      <c r="A61" s="100"/>
      <c r="B61" s="89"/>
      <c r="C61" s="89"/>
      <c r="D61" s="102"/>
      <c r="E61" s="100"/>
      <c r="F61" s="102"/>
      <c r="G61" s="89"/>
      <c r="H61" s="89"/>
    </row>
    <row r="62" spans="1:8" x14ac:dyDescent="0.25">
      <c r="A62" s="89"/>
      <c r="B62" s="89"/>
      <c r="C62" s="89"/>
      <c r="D62" s="88"/>
      <c r="E62" s="89"/>
      <c r="F62" s="90"/>
      <c r="G62" s="89"/>
      <c r="H62" s="89"/>
    </row>
    <row r="63" spans="1:8" x14ac:dyDescent="0.25">
      <c r="A63" s="89"/>
      <c r="B63" s="89"/>
      <c r="C63" s="89"/>
      <c r="D63" s="88"/>
      <c r="E63" s="89"/>
      <c r="F63" s="90"/>
      <c r="G63" s="89"/>
      <c r="H63" s="89"/>
    </row>
    <row r="64" spans="1:8" x14ac:dyDescent="0.25">
      <c r="A64" s="58"/>
      <c r="B64" s="25"/>
      <c r="C64" s="25"/>
      <c r="D64" s="26"/>
      <c r="E64" s="25"/>
      <c r="F64" s="28"/>
      <c r="G64" s="25"/>
      <c r="H64" s="25"/>
    </row>
    <row r="65" spans="1:7" x14ac:dyDescent="0.25">
      <c r="A65" s="58"/>
      <c r="B65" s="58"/>
      <c r="C65" s="25"/>
      <c r="D65" s="26"/>
      <c r="E65" s="25"/>
      <c r="F65" s="28"/>
    </row>
    <row r="66" spans="1:7" x14ac:dyDescent="0.25">
      <c r="A66" s="25"/>
      <c r="B66" s="25"/>
      <c r="C66" s="25"/>
      <c r="D66" s="26"/>
      <c r="E66" s="25"/>
      <c r="F66" s="28"/>
    </row>
    <row r="67" spans="1:7" x14ac:dyDescent="0.25">
      <c r="A67" s="27"/>
      <c r="B67" s="25"/>
      <c r="C67" s="25"/>
      <c r="D67" s="29"/>
      <c r="E67" s="27"/>
      <c r="F67" s="29"/>
    </row>
    <row r="68" spans="1:7" x14ac:dyDescent="0.25">
      <c r="A68" s="25"/>
      <c r="B68" s="25"/>
      <c r="C68" s="25"/>
      <c r="D68" s="88"/>
      <c r="E68" s="89"/>
      <c r="F68" s="90"/>
      <c r="G68" s="66"/>
    </row>
    <row r="69" spans="1:7" x14ac:dyDescent="0.25">
      <c r="A69" s="25"/>
      <c r="B69" s="25"/>
      <c r="C69" s="25"/>
      <c r="D69" s="88"/>
      <c r="E69" s="89"/>
      <c r="F69" s="90"/>
      <c r="G69" s="66"/>
    </row>
    <row r="70" spans="1:7" x14ac:dyDescent="0.25">
      <c r="A70" s="58"/>
      <c r="B70" s="25"/>
      <c r="C70" s="25"/>
      <c r="D70" s="88"/>
      <c r="E70" s="89"/>
      <c r="F70" s="103"/>
      <c r="G70" s="66"/>
    </row>
    <row r="71" spans="1:7" x14ac:dyDescent="0.25">
      <c r="A71" s="58"/>
      <c r="B71" s="58"/>
      <c r="C71" s="25"/>
      <c r="D71" s="88"/>
      <c r="E71" s="89"/>
      <c r="F71" s="103"/>
      <c r="G71" s="66"/>
    </row>
    <row r="72" spans="1:7" x14ac:dyDescent="0.25">
      <c r="A72" s="25"/>
      <c r="B72" s="25"/>
      <c r="C72" s="25"/>
      <c r="D72" s="88"/>
      <c r="E72" s="89"/>
      <c r="F72" s="103"/>
      <c r="G72" s="66"/>
    </row>
    <row r="73" spans="1:7" x14ac:dyDescent="0.25">
      <c r="A73" s="27"/>
      <c r="B73" s="25"/>
      <c r="C73" s="25"/>
      <c r="D73" s="102"/>
      <c r="E73" s="100"/>
      <c r="F73" s="102"/>
      <c r="G73" s="66"/>
    </row>
    <row r="74" spans="1:7" x14ac:dyDescent="0.25">
      <c r="A74" s="25"/>
      <c r="B74" s="25"/>
      <c r="C74" s="25"/>
      <c r="D74" s="105"/>
      <c r="E74" s="89"/>
      <c r="F74" s="90"/>
      <c r="G74" s="66"/>
    </row>
    <row r="75" spans="1:7" x14ac:dyDescent="0.25">
      <c r="A75" s="25"/>
      <c r="B75" s="25"/>
      <c r="C75" s="25"/>
      <c r="D75" s="105"/>
      <c r="E75" s="89"/>
      <c r="F75" s="90"/>
      <c r="G75" s="66"/>
    </row>
    <row r="76" spans="1:7" x14ac:dyDescent="0.25">
      <c r="A76" s="58"/>
      <c r="B76" s="25"/>
      <c r="C76" s="25"/>
      <c r="D76" s="105"/>
      <c r="E76" s="89"/>
      <c r="F76" s="103"/>
      <c r="G76" s="66"/>
    </row>
    <row r="77" spans="1:7" x14ac:dyDescent="0.25">
      <c r="A77" s="58"/>
      <c r="B77" s="58"/>
      <c r="C77" s="25"/>
      <c r="D77" s="105"/>
      <c r="E77" s="89"/>
      <c r="F77" s="103"/>
      <c r="G77" s="66"/>
    </row>
    <row r="78" spans="1:7" x14ac:dyDescent="0.25">
      <c r="A78" s="25"/>
      <c r="B78" s="25"/>
      <c r="C78" s="25"/>
      <c r="D78" s="105"/>
      <c r="E78" s="89"/>
      <c r="F78" s="103"/>
      <c r="G78" s="66"/>
    </row>
    <row r="79" spans="1:7" x14ac:dyDescent="0.25">
      <c r="A79" s="27"/>
      <c r="B79" s="25"/>
      <c r="C79" s="25"/>
      <c r="D79" s="102"/>
      <c r="E79" s="100"/>
      <c r="F79" s="102"/>
      <c r="G79" s="66"/>
    </row>
    <row r="80" spans="1:7" x14ac:dyDescent="0.25">
      <c r="A80" s="25"/>
      <c r="B80" s="25"/>
      <c r="C80" s="25"/>
      <c r="D80" s="88"/>
      <c r="E80" s="89"/>
      <c r="F80" s="90"/>
      <c r="G80" s="66"/>
    </row>
    <row r="81" spans="1:8" x14ac:dyDescent="0.25">
      <c r="A81" s="25"/>
      <c r="B81" s="25"/>
      <c r="C81" s="25"/>
      <c r="D81" s="88"/>
      <c r="E81" s="89"/>
      <c r="F81" s="90"/>
      <c r="G81" s="89"/>
      <c r="H81" s="25"/>
    </row>
    <row r="82" spans="1:8" x14ac:dyDescent="0.25">
      <c r="A82" s="58"/>
      <c r="B82" s="25"/>
      <c r="C82" s="25"/>
      <c r="D82" s="88"/>
      <c r="E82" s="89"/>
      <c r="F82" s="103"/>
      <c r="G82" s="89"/>
      <c r="H82" s="25"/>
    </row>
    <row r="83" spans="1:8" x14ac:dyDescent="0.25">
      <c r="A83" s="58"/>
      <c r="B83" s="58"/>
      <c r="C83" s="25"/>
      <c r="D83" s="26"/>
      <c r="E83" s="25"/>
      <c r="F83" s="28"/>
      <c r="G83" s="25"/>
      <c r="H83" s="25"/>
    </row>
    <row r="84" spans="1:8" ht="31.5" customHeight="1" x14ac:dyDescent="0.25">
      <c r="A84" s="58"/>
      <c r="B84" s="58"/>
      <c r="C84" s="25"/>
      <c r="D84" s="26"/>
      <c r="E84" s="25"/>
      <c r="F84" s="28"/>
      <c r="G84" s="25"/>
      <c r="H84" s="25"/>
    </row>
    <row r="85" spans="1:8" ht="32.25" customHeight="1" x14ac:dyDescent="0.25">
      <c r="A85" s="260"/>
      <c r="B85" s="260"/>
      <c r="C85" s="260"/>
      <c r="D85" s="260"/>
      <c r="E85" s="260"/>
      <c r="F85" s="260"/>
      <c r="G85" s="260"/>
      <c r="H85" s="260"/>
    </row>
  </sheetData>
  <mergeCells count="5">
    <mergeCell ref="B6:E6"/>
    <mergeCell ref="A1:H1"/>
    <mergeCell ref="A2:H2"/>
    <mergeCell ref="A3:H3"/>
    <mergeCell ref="A4:H4"/>
  </mergeCells>
  <phoneticPr fontId="11" type="noConversion"/>
  <pageMargins left="0.75" right="0.75" top="1" bottom="1" header="0.5" footer="0.5"/>
  <pageSetup orientation="portrait" r:id="rId1"/>
  <headerFooter alignWithMargins="0">
    <oddHeader>&amp;R&amp;D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91"/>
  <sheetViews>
    <sheetView workbookViewId="0">
      <selection activeCell="K24" sqref="K24"/>
    </sheetView>
  </sheetViews>
  <sheetFormatPr defaultRowHeight="15" x14ac:dyDescent="0.25"/>
  <cols>
    <col min="1" max="1" width="17.85546875" customWidth="1"/>
    <col min="8" max="8" width="11.7109375" customWidth="1"/>
  </cols>
  <sheetData>
    <row r="1" spans="1:10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10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10" ht="18.75" x14ac:dyDescent="0.3">
      <c r="A3" s="1036" t="s">
        <v>87</v>
      </c>
      <c r="B3" s="1036"/>
      <c r="C3" s="1036"/>
      <c r="D3" s="1036"/>
      <c r="E3" s="1036"/>
      <c r="F3" s="1036"/>
      <c r="G3" s="1036"/>
      <c r="H3" s="1036"/>
    </row>
    <row r="4" spans="1:10" ht="18.75" x14ac:dyDescent="0.3">
      <c r="A4" s="74"/>
      <c r="B4" s="74"/>
      <c r="C4" s="74"/>
      <c r="D4" s="74"/>
      <c r="E4" s="74"/>
      <c r="F4" s="74"/>
      <c r="G4" s="74"/>
      <c r="H4" s="74"/>
    </row>
    <row r="5" spans="1:10" x14ac:dyDescent="0.25">
      <c r="A5" s="445"/>
      <c r="B5" s="445"/>
      <c r="C5" s="445"/>
      <c r="D5" s="445"/>
      <c r="E5" s="445"/>
      <c r="F5" s="445"/>
      <c r="G5" s="445"/>
      <c r="H5" s="445"/>
      <c r="I5" s="332"/>
      <c r="J5" s="332"/>
    </row>
    <row r="6" spans="1:10" x14ac:dyDescent="0.25">
      <c r="A6" s="332"/>
      <c r="B6" s="332"/>
      <c r="C6" s="332"/>
      <c r="D6" s="332"/>
      <c r="E6" s="332"/>
      <c r="F6" s="332"/>
      <c r="G6" s="332"/>
      <c r="H6" s="332"/>
      <c r="I6" s="332"/>
      <c r="J6" s="332"/>
    </row>
    <row r="7" spans="1:10" x14ac:dyDescent="0.25">
      <c r="A7" s="311" t="s">
        <v>115</v>
      </c>
      <c r="B7" s="446"/>
      <c r="C7" s="447"/>
      <c r="D7" s="332"/>
      <c r="E7" s="332"/>
      <c r="F7" s="332"/>
      <c r="G7" s="332"/>
      <c r="H7" s="332"/>
      <c r="I7" s="332"/>
      <c r="J7" s="332"/>
    </row>
    <row r="8" spans="1:10" x14ac:dyDescent="0.25">
      <c r="A8" s="313"/>
      <c r="B8" s="1039" t="s">
        <v>88</v>
      </c>
      <c r="C8" s="1040"/>
      <c r="D8" s="332"/>
      <c r="E8" s="332"/>
      <c r="F8" s="332"/>
      <c r="G8" s="332"/>
      <c r="H8" s="332"/>
      <c r="I8" s="332"/>
      <c r="J8" s="332"/>
    </row>
    <row r="9" spans="1:10" x14ac:dyDescent="0.25">
      <c r="A9" s="317" t="s">
        <v>164</v>
      </c>
      <c r="B9" s="1037">
        <v>16.39</v>
      </c>
      <c r="C9" s="1038"/>
      <c r="D9" s="332"/>
      <c r="E9" s="332"/>
      <c r="F9" s="332"/>
      <c r="G9" s="332"/>
      <c r="H9" s="332"/>
      <c r="I9" s="332"/>
      <c r="J9" s="332"/>
    </row>
    <row r="10" spans="1:10" x14ac:dyDescent="0.25">
      <c r="A10" s="326" t="s">
        <v>116</v>
      </c>
      <c r="B10" s="366"/>
      <c r="C10" s="366"/>
      <c r="D10" s="332"/>
      <c r="E10" s="332"/>
      <c r="F10" s="332"/>
      <c r="G10" s="332"/>
      <c r="H10" s="332"/>
      <c r="I10" s="332"/>
      <c r="J10" s="332"/>
    </row>
    <row r="11" spans="1:10" x14ac:dyDescent="0.25">
      <c r="A11" s="326"/>
      <c r="B11" s="366"/>
      <c r="C11" s="366"/>
      <c r="D11" s="366"/>
      <c r="E11" s="366"/>
      <c r="F11" s="332"/>
      <c r="G11" s="332"/>
      <c r="H11" s="332"/>
      <c r="I11" s="332"/>
      <c r="J11" s="332"/>
    </row>
    <row r="12" spans="1:10" x14ac:dyDescent="0.25">
      <c r="A12" s="332"/>
      <c r="B12" s="332"/>
      <c r="C12" s="332"/>
      <c r="D12" s="366"/>
      <c r="E12" s="366"/>
      <c r="F12" s="332"/>
      <c r="G12" s="332"/>
      <c r="H12" s="332"/>
      <c r="I12" s="332"/>
      <c r="J12" s="332"/>
    </row>
    <row r="13" spans="1:10" x14ac:dyDescent="0.25">
      <c r="A13" s="320" t="s">
        <v>9</v>
      </c>
      <c r="B13" s="321"/>
      <c r="C13" s="321"/>
      <c r="D13" s="321"/>
      <c r="E13" s="321"/>
      <c r="F13" s="321"/>
      <c r="G13" s="321"/>
      <c r="H13" s="322"/>
      <c r="I13" s="332"/>
      <c r="J13" s="332"/>
    </row>
    <row r="14" spans="1:10" x14ac:dyDescent="0.25">
      <c r="A14" s="313"/>
      <c r="B14" s="323"/>
      <c r="C14" s="323"/>
      <c r="D14" s="323"/>
      <c r="E14" s="323"/>
      <c r="F14" s="323"/>
      <c r="G14" s="323"/>
      <c r="H14" s="324"/>
      <c r="I14" s="332"/>
      <c r="J14" s="332"/>
    </row>
    <row r="15" spans="1:10" x14ac:dyDescent="0.25">
      <c r="A15" s="325" t="s">
        <v>10</v>
      </c>
      <c r="B15" s="326" t="s">
        <v>12</v>
      </c>
      <c r="C15" s="326"/>
      <c r="D15" s="326"/>
      <c r="E15" s="326"/>
      <c r="F15" s="326"/>
      <c r="G15" s="326"/>
      <c r="H15" s="327"/>
      <c r="I15" s="332"/>
      <c r="J15" s="332"/>
    </row>
    <row r="16" spans="1:10" x14ac:dyDescent="0.25">
      <c r="A16" s="325" t="s">
        <v>4</v>
      </c>
      <c r="B16" s="326" t="s">
        <v>12</v>
      </c>
      <c r="C16" s="326"/>
      <c r="D16" s="326"/>
      <c r="E16" s="326"/>
      <c r="F16" s="326"/>
      <c r="G16" s="326"/>
      <c r="H16" s="327"/>
      <c r="I16" s="332"/>
      <c r="J16" s="332"/>
    </row>
    <row r="17" spans="1:10" x14ac:dyDescent="0.25">
      <c r="A17" s="325" t="s">
        <v>14</v>
      </c>
      <c r="B17" s="326" t="s">
        <v>12</v>
      </c>
      <c r="C17" s="326"/>
      <c r="D17" s="326"/>
      <c r="E17" s="326"/>
      <c r="F17" s="326"/>
      <c r="G17" s="326"/>
      <c r="H17" s="327"/>
      <c r="I17" s="332"/>
      <c r="J17" s="332"/>
    </row>
    <row r="18" spans="1:10" x14ac:dyDescent="0.25">
      <c r="A18" s="325" t="s">
        <v>60</v>
      </c>
      <c r="B18" s="326" t="s">
        <v>172</v>
      </c>
      <c r="C18" s="326"/>
      <c r="D18" s="326"/>
      <c r="E18" s="326"/>
      <c r="F18" s="326"/>
      <c r="G18" s="326"/>
      <c r="H18" s="327"/>
      <c r="I18" s="332"/>
      <c r="J18" s="332"/>
    </row>
    <row r="19" spans="1:10" x14ac:dyDescent="0.25">
      <c r="A19" s="325" t="s">
        <v>11</v>
      </c>
      <c r="B19" s="326" t="s">
        <v>12</v>
      </c>
      <c r="C19" s="326"/>
      <c r="D19" s="326"/>
      <c r="E19" s="326"/>
      <c r="F19" s="326"/>
      <c r="G19" s="326"/>
      <c r="H19" s="327"/>
      <c r="I19" s="332"/>
      <c r="J19" s="332"/>
    </row>
    <row r="20" spans="1:10" x14ac:dyDescent="0.25">
      <c r="A20" s="317" t="s">
        <v>13</v>
      </c>
      <c r="B20" s="329" t="s">
        <v>12</v>
      </c>
      <c r="C20" s="329"/>
      <c r="D20" s="329"/>
      <c r="E20" s="329"/>
      <c r="F20" s="329"/>
      <c r="G20" s="329"/>
      <c r="H20" s="330"/>
      <c r="I20" s="332"/>
      <c r="J20" s="332"/>
    </row>
    <row r="21" spans="1:10" x14ac:dyDescent="0.25">
      <c r="A21" s="331"/>
      <c r="B21" s="331"/>
      <c r="C21" s="331"/>
      <c r="D21" s="331"/>
      <c r="E21" s="331"/>
      <c r="F21" s="331"/>
      <c r="G21" s="331"/>
      <c r="H21" s="331"/>
      <c r="I21" s="332"/>
      <c r="J21" s="332"/>
    </row>
    <row r="22" spans="1:10" x14ac:dyDescent="0.25">
      <c r="A22" s="331"/>
      <c r="B22" s="331"/>
      <c r="C22" s="331"/>
      <c r="D22" s="331"/>
      <c r="E22" s="331"/>
      <c r="F22" s="331"/>
      <c r="G22" s="331"/>
      <c r="H22" s="331"/>
      <c r="I22" s="332"/>
      <c r="J22" s="332"/>
    </row>
    <row r="23" spans="1:10" x14ac:dyDescent="0.25">
      <c r="A23" s="448"/>
      <c r="B23" s="448"/>
      <c r="C23" s="448"/>
      <c r="D23" s="449"/>
      <c r="E23" s="448"/>
      <c r="F23" s="448"/>
      <c r="G23" s="332"/>
      <c r="H23" s="332"/>
      <c r="I23" s="332"/>
      <c r="J23" s="332"/>
    </row>
    <row r="24" spans="1:10" x14ac:dyDescent="0.25">
      <c r="A24" s="448"/>
      <c r="B24" s="448"/>
      <c r="C24" s="448"/>
      <c r="D24" s="449"/>
      <c r="E24" s="448"/>
      <c r="F24" s="448"/>
      <c r="G24" s="332"/>
      <c r="H24" s="332"/>
      <c r="I24" s="332"/>
      <c r="J24" s="332"/>
    </row>
    <row r="25" spans="1:10" x14ac:dyDescent="0.25">
      <c r="A25" s="448"/>
      <c r="B25" s="448"/>
      <c r="C25" s="448"/>
      <c r="D25" s="449"/>
      <c r="E25" s="448"/>
      <c r="F25" s="448"/>
      <c r="G25" s="332"/>
      <c r="H25" s="332"/>
      <c r="I25" s="332"/>
      <c r="J25" s="332"/>
    </row>
    <row r="26" spans="1:10" x14ac:dyDescent="0.25">
      <c r="A26" s="448"/>
      <c r="B26" s="448"/>
      <c r="C26" s="448"/>
      <c r="D26" s="449"/>
      <c r="E26" s="448"/>
      <c r="F26" s="448"/>
      <c r="G26" s="332"/>
      <c r="H26" s="332"/>
      <c r="I26" s="332"/>
      <c r="J26" s="332"/>
    </row>
    <row r="27" spans="1:10" x14ac:dyDescent="0.25">
      <c r="A27" s="1"/>
      <c r="B27" s="1"/>
      <c r="C27" s="1"/>
      <c r="D27" s="2"/>
      <c r="E27" s="1"/>
      <c r="F27" s="1"/>
    </row>
    <row r="28" spans="1:10" x14ac:dyDescent="0.25">
      <c r="A28" s="1"/>
      <c r="B28" s="1"/>
      <c r="C28" s="1"/>
      <c r="D28" s="2"/>
      <c r="E28" s="1"/>
      <c r="F28" s="1"/>
    </row>
    <row r="29" spans="1:10" x14ac:dyDescent="0.25">
      <c r="A29" s="1"/>
      <c r="B29" s="1"/>
      <c r="C29" s="1"/>
      <c r="D29" s="2"/>
      <c r="E29" s="1"/>
      <c r="F29" s="1"/>
    </row>
    <row r="30" spans="1:10" x14ac:dyDescent="0.25">
      <c r="A30" s="1"/>
      <c r="B30" s="1"/>
      <c r="C30" s="1"/>
      <c r="D30" s="2"/>
      <c r="E30" s="1"/>
      <c r="F30" s="1"/>
    </row>
    <row r="31" spans="1:10" x14ac:dyDescent="0.25">
      <c r="A31" s="1"/>
      <c r="B31" s="1"/>
      <c r="C31" s="1"/>
      <c r="D31" s="2"/>
      <c r="E31" s="1"/>
      <c r="F31" s="1"/>
    </row>
    <row r="32" spans="1:10" x14ac:dyDescent="0.25">
      <c r="A32" s="1"/>
      <c r="B32" s="1"/>
      <c r="C32" s="1"/>
      <c r="D32" s="2"/>
      <c r="E32" s="1"/>
      <c r="F32" s="1"/>
    </row>
    <row r="33" spans="1:8" x14ac:dyDescent="0.25">
      <c r="A33" s="1"/>
      <c r="B33" s="1"/>
      <c r="C33" s="1"/>
      <c r="D33" s="2"/>
      <c r="E33" s="1"/>
      <c r="F33" s="1"/>
    </row>
    <row r="34" spans="1:8" x14ac:dyDescent="0.25">
      <c r="A34" s="64"/>
      <c r="D34" s="2"/>
      <c r="E34" s="1"/>
      <c r="F34" s="1"/>
      <c r="G34" s="10"/>
      <c r="H34" s="10"/>
    </row>
    <row r="35" spans="1:8" x14ac:dyDescent="0.25">
      <c r="G35" s="1"/>
      <c r="H35" s="1"/>
    </row>
    <row r="36" spans="1:8" x14ac:dyDescent="0.25">
      <c r="G36" s="1"/>
      <c r="H36" s="1"/>
    </row>
    <row r="84" spans="7:8" ht="38.25" customHeight="1" x14ac:dyDescent="0.25"/>
    <row r="85" spans="7:8" x14ac:dyDescent="0.25">
      <c r="G85" s="25"/>
      <c r="H85" s="25"/>
    </row>
    <row r="86" spans="7:8" x14ac:dyDescent="0.25">
      <c r="G86" s="25"/>
      <c r="H86" s="25"/>
    </row>
    <row r="87" spans="7:8" x14ac:dyDescent="0.25">
      <c r="G87" s="25"/>
      <c r="H87" s="25"/>
    </row>
    <row r="90" spans="7:8" x14ac:dyDescent="0.25">
      <c r="G90" s="73"/>
      <c r="H90" s="73"/>
    </row>
    <row r="91" spans="7:8" ht="30.75" customHeight="1" x14ac:dyDescent="0.25"/>
  </sheetData>
  <mergeCells count="5">
    <mergeCell ref="B9:C9"/>
    <mergeCell ref="A1:H1"/>
    <mergeCell ref="A2:H2"/>
    <mergeCell ref="A3:H3"/>
    <mergeCell ref="B8:C8"/>
  </mergeCells>
  <phoneticPr fontId="11" type="noConversion"/>
  <pageMargins left="0.75" right="0.75" top="1.36" bottom="0.5" header="0.5" footer="0.5"/>
  <pageSetup orientation="portrait" r:id="rId1"/>
  <headerFooter alignWithMargins="0">
    <oddHeader>&amp;R&amp;D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91"/>
  <sheetViews>
    <sheetView workbookViewId="0">
      <selection activeCell="I11" sqref="I11"/>
    </sheetView>
  </sheetViews>
  <sheetFormatPr defaultRowHeight="15" x14ac:dyDescent="0.25"/>
  <cols>
    <col min="1" max="1" width="17.85546875" customWidth="1"/>
    <col min="3" max="3" width="16.140625" customWidth="1"/>
    <col min="8" max="8" width="11.7109375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9" ht="18.75" x14ac:dyDescent="0.3">
      <c r="A3" s="1036" t="s">
        <v>105</v>
      </c>
      <c r="B3" s="1036"/>
      <c r="C3" s="1036"/>
      <c r="D3" s="1036"/>
      <c r="E3" s="1036"/>
      <c r="F3" s="1036"/>
      <c r="G3" s="1036"/>
      <c r="H3" s="1036"/>
    </row>
    <row r="4" spans="1:9" ht="18.75" x14ac:dyDescent="0.3">
      <c r="A4" s="83"/>
      <c r="B4" s="83"/>
      <c r="C4" s="83"/>
      <c r="D4" s="83"/>
      <c r="E4" s="83"/>
      <c r="F4" s="83"/>
      <c r="G4" s="83"/>
      <c r="H4" s="83"/>
    </row>
    <row r="5" spans="1:9" x14ac:dyDescent="0.25">
      <c r="A5" s="445"/>
      <c r="B5" s="445"/>
      <c r="C5" s="445"/>
      <c r="D5" s="445"/>
      <c r="E5" s="445"/>
      <c r="F5" s="445"/>
      <c r="G5" s="445"/>
      <c r="H5" s="445"/>
      <c r="I5" s="332"/>
    </row>
    <row r="6" spans="1:9" x14ac:dyDescent="0.25">
      <c r="A6" s="332"/>
      <c r="B6" s="332"/>
      <c r="C6" s="332"/>
      <c r="D6" s="332"/>
      <c r="E6" s="332"/>
      <c r="F6" s="332"/>
      <c r="G6" s="332"/>
      <c r="H6" s="332"/>
      <c r="I6" s="332"/>
    </row>
    <row r="7" spans="1:9" x14ac:dyDescent="0.25">
      <c r="A7" s="311" t="s">
        <v>177</v>
      </c>
      <c r="B7" s="446"/>
      <c r="C7" s="447"/>
      <c r="D7" s="332"/>
      <c r="E7" s="332"/>
      <c r="F7" s="332"/>
      <c r="G7" s="332"/>
      <c r="H7" s="332"/>
      <c r="I7" s="332"/>
    </row>
    <row r="8" spans="1:9" x14ac:dyDescent="0.25">
      <c r="A8" s="313"/>
      <c r="B8" s="1039" t="s">
        <v>88</v>
      </c>
      <c r="C8" s="1040"/>
      <c r="D8" s="332"/>
      <c r="E8" s="332"/>
      <c r="F8" s="332"/>
      <c r="G8" s="332"/>
      <c r="H8" s="332"/>
      <c r="I8" s="332"/>
    </row>
    <row r="9" spans="1:9" x14ac:dyDescent="0.25">
      <c r="A9" s="317" t="s">
        <v>164</v>
      </c>
      <c r="B9" s="1037">
        <v>20.91</v>
      </c>
      <c r="C9" s="1038"/>
      <c r="D9" s="332"/>
      <c r="E9" s="332"/>
      <c r="F9" s="332"/>
      <c r="G9" s="332"/>
      <c r="H9" s="332"/>
      <c r="I9" s="332"/>
    </row>
    <row r="10" spans="1:9" x14ac:dyDescent="0.25">
      <c r="A10" s="326"/>
      <c r="B10" s="366"/>
      <c r="C10" s="366"/>
      <c r="D10" s="332"/>
      <c r="E10" s="332"/>
      <c r="F10" s="332"/>
      <c r="G10" s="332"/>
      <c r="H10" s="332"/>
      <c r="I10" s="332"/>
    </row>
    <row r="11" spans="1:9" x14ac:dyDescent="0.25">
      <c r="A11" s="326"/>
      <c r="B11" s="366"/>
      <c r="C11" s="366"/>
      <c r="D11" s="366"/>
      <c r="E11" s="366"/>
      <c r="F11" s="332"/>
      <c r="G11" s="332"/>
      <c r="H11" s="332"/>
      <c r="I11" s="332"/>
    </row>
    <row r="12" spans="1:9" x14ac:dyDescent="0.25">
      <c r="A12" s="332"/>
      <c r="B12" s="332"/>
      <c r="C12" s="332"/>
      <c r="D12" s="366"/>
      <c r="E12" s="366"/>
      <c r="F12" s="332"/>
      <c r="G12" s="332"/>
      <c r="H12" s="332"/>
      <c r="I12" s="332"/>
    </row>
    <row r="13" spans="1:9" x14ac:dyDescent="0.25">
      <c r="A13" s="320" t="s">
        <v>9</v>
      </c>
      <c r="B13" s="321"/>
      <c r="C13" s="321"/>
      <c r="D13" s="321"/>
      <c r="E13" s="321"/>
      <c r="F13" s="321"/>
      <c r="G13" s="321"/>
      <c r="H13" s="322"/>
      <c r="I13" s="332"/>
    </row>
    <row r="14" spans="1:9" x14ac:dyDescent="0.25">
      <c r="A14" s="313"/>
      <c r="B14" s="323"/>
      <c r="C14" s="323"/>
      <c r="D14" s="323"/>
      <c r="E14" s="323"/>
      <c r="F14" s="323"/>
      <c r="G14" s="323"/>
      <c r="H14" s="324"/>
      <c r="I14" s="332"/>
    </row>
    <row r="15" spans="1:9" x14ac:dyDescent="0.25">
      <c r="A15" s="325" t="s">
        <v>10</v>
      </c>
      <c r="B15" s="326" t="s">
        <v>12</v>
      </c>
      <c r="C15" s="326"/>
      <c r="D15" s="326"/>
      <c r="E15" s="326"/>
      <c r="F15" s="326"/>
      <c r="G15" s="326"/>
      <c r="H15" s="327"/>
      <c r="I15" s="332"/>
    </row>
    <row r="16" spans="1:9" x14ac:dyDescent="0.25">
      <c r="A16" s="325" t="s">
        <v>4</v>
      </c>
      <c r="B16" s="326" t="s">
        <v>12</v>
      </c>
      <c r="C16" s="326"/>
      <c r="D16" s="326"/>
      <c r="E16" s="326"/>
      <c r="F16" s="326"/>
      <c r="G16" s="326"/>
      <c r="H16" s="327"/>
      <c r="I16" s="332"/>
    </row>
    <row r="17" spans="1:9" x14ac:dyDescent="0.25">
      <c r="A17" s="325" t="s">
        <v>14</v>
      </c>
      <c r="B17" s="326" t="s">
        <v>12</v>
      </c>
      <c r="C17" s="326"/>
      <c r="D17" s="326"/>
      <c r="E17" s="326"/>
      <c r="F17" s="326"/>
      <c r="G17" s="326"/>
      <c r="H17" s="327"/>
      <c r="I17" s="332"/>
    </row>
    <row r="18" spans="1:9" x14ac:dyDescent="0.25">
      <c r="A18" s="325" t="s">
        <v>60</v>
      </c>
      <c r="B18" s="326" t="s">
        <v>172</v>
      </c>
      <c r="C18" s="326"/>
      <c r="D18" s="326"/>
      <c r="E18" s="326"/>
      <c r="F18" s="326"/>
      <c r="G18" s="326"/>
      <c r="H18" s="327"/>
      <c r="I18" s="332"/>
    </row>
    <row r="19" spans="1:9" x14ac:dyDescent="0.25">
      <c r="A19" s="325" t="s">
        <v>11</v>
      </c>
      <c r="B19" s="326" t="s">
        <v>12</v>
      </c>
      <c r="C19" s="326"/>
      <c r="D19" s="326"/>
      <c r="E19" s="326"/>
      <c r="F19" s="326"/>
      <c r="G19" s="326"/>
      <c r="H19" s="327"/>
      <c r="I19" s="332"/>
    </row>
    <row r="20" spans="1:9" x14ac:dyDescent="0.25">
      <c r="A20" s="317" t="s">
        <v>13</v>
      </c>
      <c r="B20" s="329" t="s">
        <v>12</v>
      </c>
      <c r="C20" s="329"/>
      <c r="D20" s="329"/>
      <c r="E20" s="329"/>
      <c r="F20" s="329"/>
      <c r="G20" s="329"/>
      <c r="H20" s="330"/>
      <c r="I20" s="332"/>
    </row>
    <row r="21" spans="1:9" x14ac:dyDescent="0.25">
      <c r="A21" s="331"/>
      <c r="B21" s="331"/>
      <c r="C21" s="331"/>
      <c r="D21" s="331"/>
      <c r="E21" s="331"/>
      <c r="F21" s="331"/>
      <c r="G21" s="331"/>
      <c r="H21" s="331"/>
      <c r="I21" s="332"/>
    </row>
    <row r="22" spans="1:9" x14ac:dyDescent="0.25">
      <c r="A22" s="331"/>
      <c r="B22" s="331"/>
      <c r="C22" s="331"/>
      <c r="D22" s="331"/>
      <c r="E22" s="331"/>
      <c r="F22" s="331"/>
      <c r="G22" s="331"/>
      <c r="H22" s="331"/>
      <c r="I22" s="332"/>
    </row>
    <row r="23" spans="1:9" x14ac:dyDescent="0.25">
      <c r="A23" s="448"/>
      <c r="B23" s="448"/>
      <c r="C23" s="448"/>
      <c r="D23" s="449"/>
      <c r="E23" s="448"/>
      <c r="F23" s="448"/>
      <c r="G23" s="332"/>
      <c r="H23" s="332"/>
      <c r="I23" s="332"/>
    </row>
    <row r="24" spans="1:9" x14ac:dyDescent="0.25">
      <c r="A24" s="448"/>
      <c r="B24" s="448"/>
      <c r="C24" s="448"/>
      <c r="D24" s="449"/>
      <c r="E24" s="448"/>
      <c r="F24" s="448"/>
      <c r="G24" s="332"/>
      <c r="H24" s="332"/>
      <c r="I24" s="332"/>
    </row>
    <row r="25" spans="1:9" x14ac:dyDescent="0.25">
      <c r="A25" s="448"/>
      <c r="B25" s="448"/>
      <c r="C25" s="448"/>
      <c r="D25" s="449"/>
      <c r="E25" s="448"/>
      <c r="F25" s="448"/>
      <c r="G25" s="332"/>
      <c r="H25" s="332"/>
      <c r="I25" s="332"/>
    </row>
    <row r="26" spans="1:9" x14ac:dyDescent="0.25">
      <c r="A26" s="448"/>
      <c r="B26" s="448"/>
      <c r="C26" s="448"/>
      <c r="D26" s="449"/>
      <c r="E26" s="448"/>
      <c r="F26" s="448"/>
      <c r="G26" s="332"/>
      <c r="H26" s="332"/>
      <c r="I26" s="332"/>
    </row>
    <row r="27" spans="1:9" x14ac:dyDescent="0.25">
      <c r="A27" s="448"/>
      <c r="B27" s="448"/>
      <c r="C27" s="448"/>
      <c r="D27" s="449"/>
      <c r="E27" s="448"/>
      <c r="F27" s="448"/>
      <c r="G27" s="332"/>
      <c r="H27" s="332"/>
      <c r="I27" s="332"/>
    </row>
    <row r="28" spans="1:9" x14ac:dyDescent="0.25">
      <c r="A28" s="448"/>
      <c r="B28" s="448"/>
      <c r="C28" s="448"/>
      <c r="D28" s="449"/>
      <c r="E28" s="448"/>
      <c r="F28" s="448"/>
      <c r="G28" s="332"/>
      <c r="H28" s="332"/>
      <c r="I28" s="332"/>
    </row>
    <row r="29" spans="1:9" x14ac:dyDescent="0.25">
      <c r="A29" s="1"/>
      <c r="B29" s="1"/>
      <c r="C29" s="1"/>
      <c r="D29" s="2"/>
      <c r="E29" s="1"/>
      <c r="F29" s="1"/>
    </row>
    <row r="30" spans="1:9" x14ac:dyDescent="0.25">
      <c r="A30" s="1"/>
      <c r="B30" s="1"/>
      <c r="C30" s="1"/>
      <c r="D30" s="2"/>
      <c r="E30" s="1"/>
      <c r="F30" s="1"/>
    </row>
    <row r="31" spans="1:9" x14ac:dyDescent="0.25">
      <c r="A31" s="1"/>
      <c r="B31" s="1"/>
      <c r="C31" s="1"/>
      <c r="D31" s="2"/>
      <c r="E31" s="1"/>
      <c r="F31" s="1"/>
    </row>
    <row r="32" spans="1:9" x14ac:dyDescent="0.25">
      <c r="A32" s="1"/>
      <c r="B32" s="1"/>
      <c r="C32" s="1"/>
      <c r="D32" s="2"/>
      <c r="E32" s="1"/>
      <c r="F32" s="1"/>
    </row>
    <row r="33" spans="1:8" x14ac:dyDescent="0.25">
      <c r="A33" s="1"/>
      <c r="B33" s="1"/>
      <c r="C33" s="1"/>
      <c r="D33" s="2"/>
      <c r="E33" s="1"/>
      <c r="F33" s="1"/>
    </row>
    <row r="34" spans="1:8" x14ac:dyDescent="0.25">
      <c r="A34" s="64"/>
      <c r="D34" s="2"/>
      <c r="E34" s="1"/>
      <c r="F34" s="1"/>
      <c r="G34" s="10"/>
      <c r="H34" s="10"/>
    </row>
    <row r="35" spans="1:8" x14ac:dyDescent="0.25">
      <c r="G35" s="1"/>
      <c r="H35" s="1"/>
    </row>
    <row r="36" spans="1:8" x14ac:dyDescent="0.25">
      <c r="G36" s="1"/>
      <c r="H36" s="1"/>
    </row>
    <row r="84" spans="7:8" ht="38.25" customHeight="1" x14ac:dyDescent="0.25"/>
    <row r="85" spans="7:8" x14ac:dyDescent="0.25">
      <c r="G85" s="25"/>
      <c r="H85" s="25"/>
    </row>
    <row r="86" spans="7:8" x14ac:dyDescent="0.25">
      <c r="G86" s="25"/>
      <c r="H86" s="25"/>
    </row>
    <row r="87" spans="7:8" x14ac:dyDescent="0.25">
      <c r="G87" s="25"/>
      <c r="H87" s="25"/>
    </row>
    <row r="90" spans="7:8" x14ac:dyDescent="0.25">
      <c r="G90" s="82"/>
      <c r="H90" s="82"/>
    </row>
    <row r="91" spans="7:8" ht="30.75" customHeight="1" x14ac:dyDescent="0.25"/>
  </sheetData>
  <mergeCells count="5">
    <mergeCell ref="A1:H1"/>
    <mergeCell ref="A2:H2"/>
    <mergeCell ref="A3:H3"/>
    <mergeCell ref="B8:C8"/>
    <mergeCell ref="B9:C9"/>
  </mergeCells>
  <pageMargins left="0.48" right="0.75" top="1.36" bottom="0.5" header="0.5" footer="0.5"/>
  <pageSetup orientation="portrait" r:id="rId1"/>
  <headerFooter alignWithMargins="0">
    <oddHeader>&amp;R&amp;D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38"/>
  <sheetViews>
    <sheetView workbookViewId="0">
      <selection activeCell="J35" sqref="J35"/>
    </sheetView>
  </sheetViews>
  <sheetFormatPr defaultRowHeight="15" x14ac:dyDescent="0.25"/>
  <cols>
    <col min="1" max="1" width="19" customWidth="1"/>
    <col min="2" max="2" width="10" customWidth="1"/>
    <col min="3" max="3" width="11.5703125" customWidth="1"/>
    <col min="4" max="4" width="10" customWidth="1"/>
    <col min="5" max="5" width="10.85546875" customWidth="1"/>
    <col min="6" max="6" width="9.7109375" customWidth="1"/>
    <col min="7" max="7" width="19.140625" customWidth="1"/>
  </cols>
  <sheetData>
    <row r="1" spans="1:8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8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8" ht="24" customHeight="1" x14ac:dyDescent="0.3">
      <c r="A3" s="1036" t="s">
        <v>64</v>
      </c>
      <c r="B3" s="1036"/>
      <c r="C3" s="1036"/>
      <c r="D3" s="1036"/>
      <c r="E3" s="1036"/>
      <c r="F3" s="1036"/>
      <c r="G3" s="1036"/>
      <c r="H3" s="1036"/>
    </row>
    <row r="4" spans="1:8" x14ac:dyDescent="0.25">
      <c r="A4" s="716" t="s">
        <v>30</v>
      </c>
      <c r="B4" s="1012"/>
      <c r="C4" s="1012"/>
      <c r="D4" s="1012"/>
      <c r="E4" s="1012"/>
      <c r="F4" s="1012"/>
      <c r="G4" s="1012"/>
      <c r="H4" s="1012"/>
    </row>
    <row r="5" spans="1:8" ht="13.5" customHeight="1" x14ac:dyDescent="0.25">
      <c r="A5" s="56"/>
      <c r="B5" s="57"/>
      <c r="C5" s="57"/>
      <c r="D5" s="57"/>
      <c r="E5" s="57"/>
      <c r="F5" s="57"/>
      <c r="G5" s="57"/>
      <c r="H5" s="57"/>
    </row>
    <row r="6" spans="1:8" x14ac:dyDescent="0.25">
      <c r="A6" s="311" t="s">
        <v>174</v>
      </c>
      <c r="B6" s="1007" t="s">
        <v>54</v>
      </c>
      <c r="C6" s="1007"/>
      <c r="D6" s="1007"/>
      <c r="E6" s="1008"/>
      <c r="F6" s="365"/>
      <c r="G6" s="365"/>
      <c r="H6" s="365"/>
    </row>
    <row r="7" spans="1:8" x14ac:dyDescent="0.25">
      <c r="A7" s="325" t="s">
        <v>164</v>
      </c>
      <c r="B7" s="450">
        <v>0</v>
      </c>
      <c r="C7" s="450">
        <v>1</v>
      </c>
      <c r="D7" s="451" t="s">
        <v>52</v>
      </c>
      <c r="E7" s="452" t="s">
        <v>53</v>
      </c>
      <c r="F7" s="365"/>
      <c r="G7" s="365"/>
      <c r="H7" s="365"/>
    </row>
    <row r="8" spans="1:8" x14ac:dyDescent="0.25">
      <c r="A8" s="453" t="s">
        <v>65</v>
      </c>
      <c r="B8" s="454">
        <v>15</v>
      </c>
      <c r="C8" s="454">
        <v>15.5</v>
      </c>
      <c r="D8" s="454">
        <v>16</v>
      </c>
      <c r="E8" s="455">
        <v>16.100000000000001</v>
      </c>
      <c r="F8" s="365"/>
      <c r="G8" s="365"/>
      <c r="H8" s="365"/>
    </row>
    <row r="9" spans="1:8" x14ac:dyDescent="0.25">
      <c r="A9" s="365"/>
      <c r="B9" s="365"/>
      <c r="C9" s="365"/>
      <c r="D9" s="365"/>
      <c r="E9" s="365"/>
      <c r="F9" s="365"/>
      <c r="G9" s="365"/>
      <c r="H9" s="365"/>
    </row>
    <row r="10" spans="1:8" x14ac:dyDescent="0.25">
      <c r="A10" s="320" t="s">
        <v>9</v>
      </c>
      <c r="B10" s="321"/>
      <c r="C10" s="321"/>
      <c r="D10" s="321"/>
      <c r="E10" s="321"/>
      <c r="F10" s="321"/>
      <c r="G10" s="322"/>
      <c r="H10" s="323"/>
    </row>
    <row r="11" spans="1:8" x14ac:dyDescent="0.25">
      <c r="A11" s="313"/>
      <c r="B11" s="323"/>
      <c r="C11" s="323"/>
      <c r="D11" s="323"/>
      <c r="E11" s="323"/>
      <c r="F11" s="323"/>
      <c r="G11" s="324"/>
      <c r="H11" s="323"/>
    </row>
    <row r="12" spans="1:8" x14ac:dyDescent="0.25">
      <c r="A12" s="325" t="s">
        <v>10</v>
      </c>
      <c r="B12" s="375" t="s">
        <v>155</v>
      </c>
      <c r="C12" s="375"/>
      <c r="D12" s="375"/>
      <c r="E12" s="375"/>
      <c r="F12" s="375"/>
      <c r="G12" s="456"/>
      <c r="H12" s="326"/>
    </row>
    <row r="13" spans="1:8" x14ac:dyDescent="0.25">
      <c r="A13" s="325" t="s">
        <v>4</v>
      </c>
      <c r="B13" s="326" t="s">
        <v>154</v>
      </c>
      <c r="C13" s="326"/>
      <c r="D13" s="326"/>
      <c r="E13" s="326"/>
      <c r="F13" s="326"/>
      <c r="G13" s="327"/>
      <c r="H13" s="326"/>
    </row>
    <row r="14" spans="1:8" x14ac:dyDescent="0.25">
      <c r="A14" s="325" t="s">
        <v>14</v>
      </c>
      <c r="B14" s="326" t="s">
        <v>42</v>
      </c>
      <c r="C14" s="326"/>
      <c r="D14" s="326"/>
      <c r="E14" s="326"/>
      <c r="F14" s="326"/>
      <c r="G14" s="327"/>
      <c r="H14" s="326"/>
    </row>
    <row r="15" spans="1:8" x14ac:dyDescent="0.25">
      <c r="A15" s="325" t="s">
        <v>60</v>
      </c>
      <c r="B15" s="326" t="s">
        <v>163</v>
      </c>
      <c r="C15" s="326"/>
      <c r="D15" s="326"/>
      <c r="E15" s="326"/>
      <c r="F15" s="326"/>
      <c r="G15" s="327"/>
      <c r="H15" s="326"/>
    </row>
    <row r="16" spans="1:8" x14ac:dyDescent="0.25">
      <c r="A16" s="325" t="s">
        <v>11</v>
      </c>
      <c r="B16" s="326" t="s">
        <v>15</v>
      </c>
      <c r="C16" s="326"/>
      <c r="D16" s="326"/>
      <c r="E16" s="326"/>
      <c r="F16" s="326"/>
      <c r="G16" s="327"/>
      <c r="H16" s="326"/>
    </row>
    <row r="17" spans="1:8" x14ac:dyDescent="0.25">
      <c r="A17" s="404" t="s">
        <v>79</v>
      </c>
      <c r="B17" s="328" t="s">
        <v>117</v>
      </c>
      <c r="C17" s="328"/>
      <c r="D17" s="328"/>
      <c r="E17" s="328"/>
      <c r="F17" s="457"/>
      <c r="G17" s="327"/>
      <c r="H17" s="326"/>
    </row>
    <row r="18" spans="1:8" x14ac:dyDescent="0.25">
      <c r="A18" s="317" t="s">
        <v>13</v>
      </c>
      <c r="B18" s="329" t="s">
        <v>12</v>
      </c>
      <c r="C18" s="329"/>
      <c r="D18" s="329"/>
      <c r="E18" s="329"/>
      <c r="F18" s="329"/>
      <c r="G18" s="330"/>
      <c r="H18" s="326"/>
    </row>
    <row r="19" spans="1:8" x14ac:dyDescent="0.25">
      <c r="A19" s="326"/>
      <c r="B19" s="329"/>
      <c r="C19" s="329"/>
      <c r="D19" s="326"/>
      <c r="E19" s="326"/>
      <c r="F19" s="326"/>
      <c r="G19" s="326"/>
      <c r="H19" s="326"/>
    </row>
    <row r="20" spans="1:8" ht="15.75" thickBot="1" x14ac:dyDescent="0.3">
      <c r="A20" s="405" t="s">
        <v>11</v>
      </c>
      <c r="B20" s="406"/>
      <c r="C20" s="406" t="s">
        <v>24</v>
      </c>
      <c r="D20" s="406"/>
      <c r="E20" s="406" t="s">
        <v>25</v>
      </c>
      <c r="F20" s="406"/>
      <c r="G20" s="407" t="s">
        <v>26</v>
      </c>
      <c r="H20" s="331"/>
    </row>
    <row r="21" spans="1:8" x14ac:dyDescent="0.25">
      <c r="A21" s="313"/>
      <c r="B21" s="323"/>
      <c r="C21" s="323"/>
      <c r="D21" s="323"/>
      <c r="E21" s="323"/>
      <c r="F21" s="328"/>
      <c r="G21" s="324"/>
      <c r="H21" s="331"/>
    </row>
    <row r="22" spans="1:8" x14ac:dyDescent="0.25">
      <c r="A22" s="408" t="s">
        <v>3</v>
      </c>
      <c r="B22" s="409"/>
      <c r="C22" s="411">
        <f>E22/2</f>
        <v>52.16</v>
      </c>
      <c r="D22" s="409"/>
      <c r="E22" s="411">
        <v>104.32</v>
      </c>
      <c r="F22" s="328"/>
      <c r="G22" s="412">
        <f>E22*12</f>
        <v>1251.8399999999999</v>
      </c>
      <c r="H22" s="331"/>
    </row>
    <row r="23" spans="1:8" x14ac:dyDescent="0.25">
      <c r="A23" s="408"/>
      <c r="B23" s="409"/>
      <c r="C23" s="409"/>
      <c r="D23" s="409"/>
      <c r="E23" s="409"/>
      <c r="F23" s="328"/>
      <c r="G23" s="410"/>
      <c r="H23" s="331"/>
    </row>
    <row r="24" spans="1:8" x14ac:dyDescent="0.25">
      <c r="A24" s="413" t="s">
        <v>2</v>
      </c>
      <c r="B24" s="414"/>
      <c r="C24" s="415">
        <f>E24/2</f>
        <v>20.149999999999999</v>
      </c>
      <c r="D24" s="414"/>
      <c r="E24" s="415">
        <v>40.299999999999997</v>
      </c>
      <c r="F24" s="416"/>
      <c r="G24" s="417">
        <f>E24*12</f>
        <v>483.59999999999997</v>
      </c>
      <c r="H24" s="331"/>
    </row>
    <row r="25" spans="1:8" x14ac:dyDescent="0.25">
      <c r="A25" s="332"/>
      <c r="B25" s="332"/>
      <c r="C25" s="459"/>
      <c r="D25" s="332"/>
      <c r="E25" s="459"/>
      <c r="F25" s="460"/>
      <c r="G25" s="459"/>
      <c r="H25" s="331"/>
    </row>
    <row r="26" spans="1:8" x14ac:dyDescent="0.25">
      <c r="A26" s="311" t="s">
        <v>16</v>
      </c>
      <c r="B26" s="321"/>
      <c r="C26" s="321"/>
      <c r="D26" s="322"/>
      <c r="E26" s="331"/>
      <c r="F26" s="331"/>
      <c r="G26" s="332"/>
      <c r="H26" s="332"/>
    </row>
    <row r="27" spans="1:8" x14ac:dyDescent="0.25">
      <c r="A27" s="333"/>
      <c r="B27" s="334" t="s">
        <v>32</v>
      </c>
      <c r="C27" s="335"/>
      <c r="D27" s="336" t="s">
        <v>19</v>
      </c>
      <c r="E27" s="326"/>
      <c r="F27" s="326"/>
      <c r="G27" s="332"/>
      <c r="H27" s="332"/>
    </row>
    <row r="28" spans="1:8" x14ac:dyDescent="0.25">
      <c r="A28" s="325" t="s">
        <v>31</v>
      </c>
      <c r="B28" s="326"/>
      <c r="C28" s="323"/>
      <c r="D28" s="327"/>
      <c r="E28" s="326"/>
      <c r="F28" s="326"/>
      <c r="G28" s="332"/>
      <c r="H28" s="332"/>
    </row>
    <row r="29" spans="1:8" x14ac:dyDescent="0.25">
      <c r="A29" s="362" t="s">
        <v>34</v>
      </c>
      <c r="B29" s="326">
        <v>12</v>
      </c>
      <c r="C29" s="323"/>
      <c r="D29" s="327">
        <v>1</v>
      </c>
      <c r="E29" s="326"/>
      <c r="F29" s="326"/>
      <c r="G29" s="332"/>
      <c r="H29" s="332"/>
    </row>
    <row r="30" spans="1:8" x14ac:dyDescent="0.25">
      <c r="A30" s="362">
        <v>2</v>
      </c>
      <c r="B30" s="326">
        <v>12</v>
      </c>
      <c r="C30" s="323"/>
      <c r="D30" s="327">
        <v>1</v>
      </c>
      <c r="E30" s="381"/>
      <c r="F30" s="326"/>
      <c r="G30" s="332"/>
      <c r="H30" s="332"/>
    </row>
    <row r="31" spans="1:8" x14ac:dyDescent="0.25">
      <c r="A31" s="338" t="s">
        <v>36</v>
      </c>
      <c r="B31" s="326">
        <v>12</v>
      </c>
      <c r="C31" s="323"/>
      <c r="D31" s="327">
        <v>1</v>
      </c>
      <c r="E31" s="326"/>
      <c r="F31" s="326"/>
      <c r="G31" s="332"/>
      <c r="H31" s="332"/>
    </row>
    <row r="32" spans="1:8" x14ac:dyDescent="0.25">
      <c r="A32" s="461" t="s">
        <v>50</v>
      </c>
      <c r="B32" s="329">
        <v>12</v>
      </c>
      <c r="C32" s="458"/>
      <c r="D32" s="330">
        <v>2</v>
      </c>
      <c r="E32" s="326"/>
      <c r="F32" s="326"/>
      <c r="G32" s="332"/>
      <c r="H32" s="332"/>
    </row>
    <row r="33" spans="1:8" x14ac:dyDescent="0.25">
      <c r="A33" s="326"/>
      <c r="B33" s="375"/>
      <c r="C33" s="326"/>
      <c r="D33" s="326"/>
      <c r="E33" s="326"/>
      <c r="F33" s="326"/>
      <c r="G33" s="326"/>
      <c r="H33" s="326"/>
    </row>
    <row r="34" spans="1:8" x14ac:dyDescent="0.25">
      <c r="A34" s="326"/>
      <c r="B34" s="375"/>
      <c r="C34" s="326"/>
      <c r="D34" s="326"/>
      <c r="E34" s="326"/>
      <c r="F34" s="326"/>
      <c r="G34" s="326"/>
      <c r="H34" s="326"/>
    </row>
    <row r="35" spans="1:8" x14ac:dyDescent="0.25">
      <c r="A35" s="320" t="s">
        <v>51</v>
      </c>
      <c r="B35" s="462"/>
      <c r="C35" s="462"/>
      <c r="D35" s="463"/>
      <c r="E35" s="462"/>
      <c r="F35" s="462"/>
      <c r="G35" s="462"/>
      <c r="H35" s="464"/>
    </row>
    <row r="36" spans="1:8" ht="48" customHeight="1" x14ac:dyDescent="0.25">
      <c r="A36" s="1041" t="s">
        <v>89</v>
      </c>
      <c r="B36" s="1042"/>
      <c r="C36" s="1042"/>
      <c r="D36" s="1042"/>
      <c r="E36" s="1042"/>
      <c r="F36" s="1042"/>
      <c r="G36" s="1042"/>
      <c r="H36" s="1043"/>
    </row>
    <row r="37" spans="1:8" x14ac:dyDescent="0.25">
      <c r="A37" s="332"/>
      <c r="B37" s="332"/>
      <c r="C37" s="332"/>
      <c r="D37" s="332"/>
      <c r="E37" s="332"/>
      <c r="F37" s="332"/>
      <c r="G37" s="332"/>
      <c r="H37" s="332"/>
    </row>
    <row r="38" spans="1:8" x14ac:dyDescent="0.25">
      <c r="A38" s="332"/>
      <c r="B38" s="332"/>
      <c r="C38" s="332"/>
      <c r="D38" s="332"/>
      <c r="E38" s="332"/>
      <c r="F38" s="332"/>
      <c r="G38" s="332"/>
      <c r="H38" s="332"/>
    </row>
  </sheetData>
  <mergeCells count="6">
    <mergeCell ref="A36:H36"/>
    <mergeCell ref="B6:E6"/>
    <mergeCell ref="A1:H1"/>
    <mergeCell ref="A2:H2"/>
    <mergeCell ref="A3:H3"/>
    <mergeCell ref="A4:H4"/>
  </mergeCells>
  <phoneticPr fontId="11" type="noConversion"/>
  <pageMargins left="0.25" right="0.25" top="0.75" bottom="0.28999999999999998" header="0.3" footer="0.3"/>
  <pageSetup orientation="portrait" r:id="rId1"/>
  <headerFooter>
    <oddHeader>&amp;R&amp;D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37"/>
  <sheetViews>
    <sheetView workbookViewId="0">
      <selection activeCell="J9" sqref="J9"/>
    </sheetView>
  </sheetViews>
  <sheetFormatPr defaultRowHeight="15" x14ac:dyDescent="0.25"/>
  <cols>
    <col min="1" max="1" width="19" customWidth="1"/>
    <col min="3" max="3" width="9.28515625" bestFit="1" customWidth="1"/>
    <col min="5" max="5" width="9.28515625" bestFit="1" customWidth="1"/>
    <col min="7" max="7" width="10.140625" bestFit="1" customWidth="1"/>
    <col min="8" max="8" width="12.7109375" customWidth="1"/>
  </cols>
  <sheetData>
    <row r="1" spans="1:9" ht="18.75" x14ac:dyDescent="0.3">
      <c r="A1" s="1005" t="s">
        <v>8</v>
      </c>
      <c r="B1" s="1005"/>
      <c r="C1" s="1005"/>
      <c r="D1" s="1005"/>
      <c r="E1" s="1005"/>
      <c r="F1" s="1005"/>
      <c r="G1" s="1005"/>
      <c r="H1" s="1005"/>
    </row>
    <row r="2" spans="1:9" ht="18.75" x14ac:dyDescent="0.3">
      <c r="A2" s="1011" t="s">
        <v>164</v>
      </c>
      <c r="B2" s="1011"/>
      <c r="C2" s="1011"/>
      <c r="D2" s="1011"/>
      <c r="E2" s="1011"/>
      <c r="F2" s="1011"/>
      <c r="G2" s="1011"/>
      <c r="H2" s="1011"/>
    </row>
    <row r="3" spans="1:9" ht="24" customHeight="1" x14ac:dyDescent="0.3">
      <c r="A3" s="1036" t="s">
        <v>101</v>
      </c>
      <c r="B3" s="1036"/>
      <c r="C3" s="1036"/>
      <c r="D3" s="1036"/>
      <c r="E3" s="1036"/>
      <c r="F3" s="1036"/>
      <c r="G3" s="1036"/>
      <c r="H3" s="1036"/>
    </row>
    <row r="4" spans="1:9" x14ac:dyDescent="0.25">
      <c r="A4" s="716" t="s">
        <v>30</v>
      </c>
      <c r="B4" s="1012"/>
      <c r="C4" s="1012"/>
      <c r="D4" s="1012"/>
      <c r="E4" s="1012"/>
      <c r="F4" s="1012"/>
      <c r="G4" s="1012"/>
      <c r="H4" s="1012"/>
    </row>
    <row r="5" spans="1:9" ht="13.5" customHeight="1" x14ac:dyDescent="0.25">
      <c r="A5" s="80"/>
      <c r="B5" s="81"/>
      <c r="C5" s="81"/>
      <c r="D5" s="81"/>
      <c r="E5" s="81"/>
      <c r="F5" s="81"/>
      <c r="G5" s="81"/>
      <c r="H5" s="81"/>
    </row>
    <row r="6" spans="1:9" x14ac:dyDescent="0.25">
      <c r="A6" s="311" t="s">
        <v>174</v>
      </c>
      <c r="B6" s="1007" t="s">
        <v>54</v>
      </c>
      <c r="C6" s="1007"/>
      <c r="D6" s="1007"/>
      <c r="E6" s="1008"/>
      <c r="F6" s="465"/>
      <c r="G6" s="465"/>
      <c r="H6" s="465"/>
      <c r="I6" s="466"/>
    </row>
    <row r="7" spans="1:9" x14ac:dyDescent="0.25">
      <c r="A7" s="325" t="s">
        <v>164</v>
      </c>
      <c r="B7" s="334">
        <v>0</v>
      </c>
      <c r="C7" s="334">
        <v>1</v>
      </c>
      <c r="D7" s="356" t="s">
        <v>52</v>
      </c>
      <c r="E7" s="336" t="s">
        <v>53</v>
      </c>
      <c r="F7" s="465"/>
      <c r="G7" s="465"/>
      <c r="H7" s="465"/>
      <c r="I7" s="466"/>
    </row>
    <row r="8" spans="1:9" x14ac:dyDescent="0.25">
      <c r="A8" s="444" t="s">
        <v>102</v>
      </c>
      <c r="B8" s="360">
        <v>16.559999999999999</v>
      </c>
      <c r="C8" s="360">
        <v>17.059999999999999</v>
      </c>
      <c r="D8" s="360">
        <v>17.559999999999999</v>
      </c>
      <c r="E8" s="361">
        <v>17.66</v>
      </c>
      <c r="F8" s="1044"/>
      <c r="G8" s="1045"/>
      <c r="H8" s="465"/>
      <c r="I8" s="466"/>
    </row>
    <row r="9" spans="1:9" x14ac:dyDescent="0.25">
      <c r="A9" s="465"/>
      <c r="B9" s="465"/>
      <c r="C9" s="465"/>
      <c r="D9" s="465"/>
      <c r="E9" s="465"/>
      <c r="F9" s="465"/>
      <c r="G9" s="465"/>
      <c r="H9" s="465"/>
      <c r="I9" s="466"/>
    </row>
    <row r="10" spans="1:9" x14ac:dyDescent="0.25">
      <c r="A10" s="320" t="s">
        <v>9</v>
      </c>
      <c r="B10" s="467"/>
      <c r="C10" s="467"/>
      <c r="D10" s="467"/>
      <c r="E10" s="467"/>
      <c r="F10" s="467"/>
      <c r="G10" s="467"/>
      <c r="H10" s="468"/>
      <c r="I10" s="466"/>
    </row>
    <row r="11" spans="1:9" x14ac:dyDescent="0.25">
      <c r="A11" s="408"/>
      <c r="B11" s="409"/>
      <c r="C11" s="409"/>
      <c r="D11" s="409"/>
      <c r="E11" s="409"/>
      <c r="F11" s="409"/>
      <c r="G11" s="409"/>
      <c r="H11" s="410"/>
      <c r="I11" s="466"/>
    </row>
    <row r="12" spans="1:9" x14ac:dyDescent="0.25">
      <c r="A12" s="325" t="s">
        <v>10</v>
      </c>
      <c r="B12" s="375" t="s">
        <v>155</v>
      </c>
      <c r="C12" s="375"/>
      <c r="D12" s="375"/>
      <c r="E12" s="375"/>
      <c r="F12" s="375"/>
      <c r="G12" s="375"/>
      <c r="H12" s="327"/>
      <c r="I12" s="466"/>
    </row>
    <row r="13" spans="1:9" x14ac:dyDescent="0.25">
      <c r="A13" s="325" t="s">
        <v>4</v>
      </c>
      <c r="B13" s="326" t="s">
        <v>154</v>
      </c>
      <c r="C13" s="326"/>
      <c r="D13" s="326"/>
      <c r="E13" s="326"/>
      <c r="F13" s="326"/>
      <c r="G13" s="326"/>
      <c r="H13" s="327"/>
      <c r="I13" s="466"/>
    </row>
    <row r="14" spans="1:9" x14ac:dyDescent="0.25">
      <c r="A14" s="325" t="s">
        <v>14</v>
      </c>
      <c r="B14" s="326" t="s">
        <v>15</v>
      </c>
      <c r="C14" s="326"/>
      <c r="D14" s="326" t="s">
        <v>118</v>
      </c>
      <c r="E14" s="326"/>
      <c r="F14" s="326"/>
      <c r="G14" s="326"/>
      <c r="H14" s="327"/>
      <c r="I14" s="466"/>
    </row>
    <row r="15" spans="1:9" x14ac:dyDescent="0.25">
      <c r="A15" s="325" t="s">
        <v>60</v>
      </c>
      <c r="B15" s="326" t="s">
        <v>178</v>
      </c>
      <c r="C15" s="326"/>
      <c r="D15" s="326"/>
      <c r="E15" s="326"/>
      <c r="F15" s="326"/>
      <c r="G15" s="326"/>
      <c r="H15" s="327"/>
      <c r="I15" s="466"/>
    </row>
    <row r="16" spans="1:9" x14ac:dyDescent="0.25">
      <c r="A16" s="325" t="s">
        <v>11</v>
      </c>
      <c r="B16" s="326" t="s">
        <v>15</v>
      </c>
      <c r="C16" s="326"/>
      <c r="D16" s="326"/>
      <c r="E16" s="326"/>
      <c r="F16" s="326"/>
      <c r="G16" s="326"/>
      <c r="H16" s="327"/>
      <c r="I16" s="466"/>
    </row>
    <row r="17" spans="1:9" x14ac:dyDescent="0.25">
      <c r="A17" s="404" t="s">
        <v>79</v>
      </c>
      <c r="B17" s="328" t="s">
        <v>117</v>
      </c>
      <c r="C17" s="328"/>
      <c r="D17" s="328"/>
      <c r="E17" s="328"/>
      <c r="F17" s="457"/>
      <c r="G17" s="326"/>
      <c r="H17" s="327"/>
      <c r="I17" s="466"/>
    </row>
    <row r="18" spans="1:9" x14ac:dyDescent="0.25">
      <c r="A18" s="317" t="s">
        <v>13</v>
      </c>
      <c r="B18" s="329" t="s">
        <v>12</v>
      </c>
      <c r="C18" s="329"/>
      <c r="D18" s="329"/>
      <c r="E18" s="329"/>
      <c r="F18" s="329"/>
      <c r="G18" s="329"/>
      <c r="H18" s="330"/>
      <c r="I18" s="466"/>
    </row>
    <row r="19" spans="1:9" x14ac:dyDescent="0.25">
      <c r="A19" s="326"/>
      <c r="B19" s="329"/>
      <c r="C19" s="329"/>
      <c r="D19" s="326"/>
      <c r="E19" s="326"/>
      <c r="F19" s="326"/>
      <c r="G19" s="326"/>
      <c r="H19" s="326"/>
      <c r="I19" s="466"/>
    </row>
    <row r="20" spans="1:9" ht="15.75" thickBot="1" x14ac:dyDescent="0.3">
      <c r="A20" s="405" t="s">
        <v>11</v>
      </c>
      <c r="B20" s="406"/>
      <c r="C20" s="406" t="s">
        <v>24</v>
      </c>
      <c r="D20" s="406"/>
      <c r="E20" s="406" t="s">
        <v>25</v>
      </c>
      <c r="F20" s="406"/>
      <c r="G20" s="407" t="s">
        <v>26</v>
      </c>
      <c r="H20" s="331"/>
      <c r="I20" s="466"/>
    </row>
    <row r="21" spans="1:9" x14ac:dyDescent="0.25">
      <c r="A21" s="408"/>
      <c r="B21" s="409"/>
      <c r="C21" s="409"/>
      <c r="D21" s="409"/>
      <c r="E21" s="409"/>
      <c r="F21" s="328"/>
      <c r="G21" s="410"/>
      <c r="H21" s="331"/>
      <c r="I21" s="466"/>
    </row>
    <row r="22" spans="1:9" x14ac:dyDescent="0.25">
      <c r="A22" s="408" t="s">
        <v>3</v>
      </c>
      <c r="B22" s="409"/>
      <c r="C22" s="411">
        <f>E22/2</f>
        <v>52.16</v>
      </c>
      <c r="D22" s="409"/>
      <c r="E22" s="411">
        <v>104.32</v>
      </c>
      <c r="F22" s="328"/>
      <c r="G22" s="412">
        <f>E22*12</f>
        <v>1251.8399999999999</v>
      </c>
      <c r="H22" s="331"/>
      <c r="I22" s="466"/>
    </row>
    <row r="23" spans="1:9" x14ac:dyDescent="0.25">
      <c r="A23" s="408"/>
      <c r="B23" s="409"/>
      <c r="C23" s="409"/>
      <c r="D23" s="409"/>
      <c r="E23" s="409"/>
      <c r="F23" s="328"/>
      <c r="G23" s="410"/>
      <c r="H23" s="331"/>
      <c r="I23" s="466"/>
    </row>
    <row r="24" spans="1:9" x14ac:dyDescent="0.25">
      <c r="A24" s="413" t="s">
        <v>2</v>
      </c>
      <c r="B24" s="414"/>
      <c r="C24" s="415">
        <f>E24/2</f>
        <v>20.149999999999999</v>
      </c>
      <c r="D24" s="414"/>
      <c r="E24" s="415">
        <v>40.299999999999997</v>
      </c>
      <c r="F24" s="416"/>
      <c r="G24" s="417">
        <f>E24*12</f>
        <v>483.59999999999997</v>
      </c>
      <c r="H24" s="331"/>
      <c r="I24" s="466"/>
    </row>
    <row r="25" spans="1:9" x14ac:dyDescent="0.25">
      <c r="A25" s="466"/>
      <c r="B25" s="466"/>
      <c r="C25" s="469"/>
      <c r="D25" s="466"/>
      <c r="E25" s="469"/>
      <c r="F25" s="460"/>
      <c r="G25" s="469"/>
      <c r="H25" s="331"/>
      <c r="I25" s="466"/>
    </row>
    <row r="26" spans="1:9" x14ac:dyDescent="0.25">
      <c r="A26" s="311" t="s">
        <v>16</v>
      </c>
      <c r="B26" s="467"/>
      <c r="C26" s="467"/>
      <c r="D26" s="468"/>
      <c r="E26" s="331"/>
      <c r="F26" s="331"/>
      <c r="G26" s="466"/>
      <c r="H26" s="466"/>
      <c r="I26" s="466"/>
    </row>
    <row r="27" spans="1:9" x14ac:dyDescent="0.25">
      <c r="A27" s="333"/>
      <c r="B27" s="334" t="s">
        <v>32</v>
      </c>
      <c r="C27" s="470"/>
      <c r="D27" s="336" t="s">
        <v>19</v>
      </c>
      <c r="E27" s="326"/>
      <c r="F27" s="326"/>
      <c r="G27" s="466"/>
      <c r="H27" s="466"/>
      <c r="I27" s="466"/>
    </row>
    <row r="28" spans="1:9" x14ac:dyDescent="0.25">
      <c r="A28" s="325" t="s">
        <v>31</v>
      </c>
      <c r="B28" s="326"/>
      <c r="C28" s="409"/>
      <c r="D28" s="327"/>
      <c r="E28" s="326"/>
      <c r="F28" s="326"/>
      <c r="G28" s="466"/>
      <c r="H28" s="466"/>
      <c r="I28" s="466"/>
    </row>
    <row r="29" spans="1:9" x14ac:dyDescent="0.25">
      <c r="A29" s="362" t="s">
        <v>34</v>
      </c>
      <c r="B29" s="326">
        <v>12</v>
      </c>
      <c r="C29" s="409"/>
      <c r="D29" s="327">
        <v>1</v>
      </c>
      <c r="E29" s="326"/>
      <c r="F29" s="326"/>
      <c r="G29" s="466"/>
      <c r="H29" s="466"/>
      <c r="I29" s="466"/>
    </row>
    <row r="30" spans="1:9" x14ac:dyDescent="0.25">
      <c r="A30" s="362">
        <v>2</v>
      </c>
      <c r="B30" s="326">
        <v>12</v>
      </c>
      <c r="C30" s="409"/>
      <c r="D30" s="327">
        <v>1</v>
      </c>
      <c r="E30" s="381"/>
      <c r="F30" s="326"/>
      <c r="G30" s="466"/>
      <c r="H30" s="466"/>
      <c r="I30" s="466"/>
    </row>
    <row r="31" spans="1:9" x14ac:dyDescent="0.25">
      <c r="A31" s="338" t="s">
        <v>36</v>
      </c>
      <c r="B31" s="326">
        <v>12</v>
      </c>
      <c r="C31" s="409"/>
      <c r="D31" s="327">
        <v>1</v>
      </c>
      <c r="E31" s="326"/>
      <c r="F31" s="326"/>
      <c r="G31" s="466"/>
      <c r="H31" s="466"/>
      <c r="I31" s="466"/>
    </row>
    <row r="32" spans="1:9" x14ac:dyDescent="0.25">
      <c r="A32" s="461" t="s">
        <v>50</v>
      </c>
      <c r="B32" s="329">
        <v>12</v>
      </c>
      <c r="C32" s="414"/>
      <c r="D32" s="330">
        <v>2</v>
      </c>
      <c r="E32" s="326"/>
      <c r="F32" s="326"/>
      <c r="G32" s="466"/>
      <c r="H32" s="466"/>
      <c r="I32" s="466"/>
    </row>
    <row r="33" spans="1:9" x14ac:dyDescent="0.25">
      <c r="A33" s="326"/>
      <c r="B33" s="375"/>
      <c r="C33" s="326"/>
      <c r="D33" s="326"/>
      <c r="E33" s="326"/>
      <c r="F33" s="326"/>
      <c r="G33" s="326"/>
      <c r="H33" s="326"/>
      <c r="I33" s="466"/>
    </row>
    <row r="34" spans="1:9" ht="19.5" customHeight="1" x14ac:dyDescent="0.25">
      <c r="A34" s="320" t="s">
        <v>51</v>
      </c>
      <c r="B34" s="462"/>
      <c r="C34" s="462"/>
      <c r="D34" s="463"/>
      <c r="E34" s="462"/>
      <c r="F34" s="462"/>
      <c r="G34" s="462"/>
      <c r="H34" s="464"/>
      <c r="I34" s="466"/>
    </row>
    <row r="35" spans="1:9" ht="38.25" customHeight="1" x14ac:dyDescent="0.25">
      <c r="A35" s="1041" t="s">
        <v>89</v>
      </c>
      <c r="B35" s="1042"/>
      <c r="C35" s="1042"/>
      <c r="D35" s="1042"/>
      <c r="E35" s="1042"/>
      <c r="F35" s="1042"/>
      <c r="G35" s="1042"/>
      <c r="H35" s="1043"/>
      <c r="I35" s="466"/>
    </row>
    <row r="36" spans="1:9" x14ac:dyDescent="0.25">
      <c r="A36" s="466"/>
      <c r="B36" s="466"/>
      <c r="C36" s="466"/>
      <c r="D36" s="466"/>
      <c r="E36" s="466"/>
      <c r="F36" s="466"/>
      <c r="G36" s="466"/>
      <c r="H36" s="466"/>
      <c r="I36" s="466"/>
    </row>
    <row r="37" spans="1:9" x14ac:dyDescent="0.25">
      <c r="A37" s="466"/>
      <c r="B37" s="466"/>
      <c r="C37" s="466"/>
      <c r="D37" s="466"/>
      <c r="E37" s="466"/>
      <c r="F37" s="466"/>
      <c r="G37" s="466"/>
      <c r="H37" s="466"/>
      <c r="I37" s="466"/>
    </row>
  </sheetData>
  <mergeCells count="7">
    <mergeCell ref="A35:H35"/>
    <mergeCell ref="A1:H1"/>
    <mergeCell ref="A2:H2"/>
    <mergeCell ref="A3:H3"/>
    <mergeCell ref="A4:H4"/>
    <mergeCell ref="B6:E6"/>
    <mergeCell ref="F8:G8"/>
  </mergeCells>
  <pageMargins left="0.43" right="0.7" top="0.75" bottom="0.28999999999999998" header="0.3" footer="0.3"/>
  <pageSetup orientation="portrait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H171"/>
  <sheetViews>
    <sheetView topLeftCell="A4" zoomScaleNormal="100" workbookViewId="0">
      <selection activeCell="Z20" sqref="Z20"/>
    </sheetView>
  </sheetViews>
  <sheetFormatPr defaultRowHeight="15" x14ac:dyDescent="0.25"/>
  <cols>
    <col min="1" max="1" width="6.7109375" customWidth="1"/>
    <col min="2" max="2" width="7.7109375" customWidth="1"/>
    <col min="3" max="3" width="14" customWidth="1"/>
    <col min="4" max="4" width="14.5703125" customWidth="1"/>
    <col min="5" max="5" width="2.42578125" customWidth="1"/>
    <col min="6" max="6" width="6" customWidth="1"/>
    <col min="7" max="7" width="7.5703125" customWidth="1"/>
    <col min="8" max="8" width="9.140625" bestFit="1" customWidth="1"/>
    <col min="9" max="9" width="9.140625" customWidth="1"/>
    <col min="10" max="10" width="11.28515625" customWidth="1"/>
    <col min="11" max="11" width="2.5703125" customWidth="1"/>
    <col min="12" max="12" width="6.7109375" customWidth="1"/>
    <col min="13" max="15" width="10.28515625" customWidth="1"/>
    <col min="16" max="16" width="2.140625" customWidth="1"/>
    <col min="17" max="17" width="9" customWidth="1"/>
    <col min="18" max="18" width="8.140625" customWidth="1"/>
    <col min="19" max="19" width="8.85546875" customWidth="1"/>
    <col min="20" max="20" width="9" customWidth="1"/>
    <col min="21" max="21" width="11.140625" customWidth="1"/>
    <col min="22" max="22" width="1.85546875" customWidth="1"/>
    <col min="23" max="23" width="6.7109375" customWidth="1"/>
    <col min="24" max="26" width="10.28515625" customWidth="1"/>
    <col min="34" max="34" width="14.140625" customWidth="1"/>
  </cols>
  <sheetData>
    <row r="1" spans="1:31" ht="32.25" customHeight="1" thickBot="1" x14ac:dyDescent="0.3">
      <c r="A1" s="743" t="s">
        <v>246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5"/>
      <c r="AA1" s="216"/>
      <c r="AB1" s="216"/>
      <c r="AC1" s="216"/>
      <c r="AD1" s="216"/>
      <c r="AE1" s="216"/>
    </row>
    <row r="2" spans="1:31" x14ac:dyDescent="0.25">
      <c r="A2" s="194"/>
      <c r="B2" s="194"/>
      <c r="C2" s="194"/>
      <c r="D2" s="194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AA2" s="216"/>
      <c r="AB2" s="216"/>
      <c r="AC2" s="216"/>
      <c r="AD2" s="216"/>
      <c r="AE2" s="216"/>
    </row>
    <row r="3" spans="1:31" ht="16.5" thickBot="1" x14ac:dyDescent="0.3">
      <c r="A3" s="873"/>
      <c r="B3" s="873"/>
      <c r="C3" s="873"/>
      <c r="D3" s="873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AA3" s="216"/>
      <c r="AB3" s="216"/>
      <c r="AC3" s="216"/>
      <c r="AD3" s="216"/>
      <c r="AE3" s="216"/>
    </row>
    <row r="4" spans="1:31" ht="19.5" customHeight="1" thickBot="1" x14ac:dyDescent="0.3">
      <c r="A4" s="840" t="s">
        <v>120</v>
      </c>
      <c r="B4" s="841"/>
      <c r="C4" s="841"/>
      <c r="D4" s="842"/>
      <c r="E4" s="650"/>
      <c r="F4" s="756" t="s">
        <v>241</v>
      </c>
      <c r="G4" s="757"/>
      <c r="H4" s="757"/>
      <c r="I4" s="757"/>
      <c r="J4" s="757"/>
      <c r="K4" s="757"/>
      <c r="L4" s="757"/>
      <c r="M4" s="757"/>
      <c r="N4" s="757"/>
      <c r="O4" s="758"/>
      <c r="P4" s="649"/>
      <c r="Q4" s="759" t="s">
        <v>243</v>
      </c>
      <c r="R4" s="760"/>
      <c r="S4" s="760"/>
      <c r="T4" s="760"/>
      <c r="U4" s="760"/>
      <c r="V4" s="760"/>
      <c r="W4" s="760"/>
      <c r="X4" s="760"/>
      <c r="Y4" s="760"/>
      <c r="Z4" s="761"/>
      <c r="AA4" s="216"/>
      <c r="AB4" s="216"/>
      <c r="AC4" s="216"/>
      <c r="AD4" s="216"/>
      <c r="AE4" s="216"/>
    </row>
    <row r="5" spans="1:31" ht="19.5" customHeight="1" thickBot="1" x14ac:dyDescent="0.3">
      <c r="A5" s="843" t="s">
        <v>197</v>
      </c>
      <c r="B5" s="844"/>
      <c r="C5" s="844"/>
      <c r="D5" s="845"/>
      <c r="E5" s="480"/>
      <c r="F5" s="762" t="s">
        <v>242</v>
      </c>
      <c r="G5" s="763"/>
      <c r="H5" s="763"/>
      <c r="I5" s="763"/>
      <c r="J5" s="763"/>
      <c r="K5" s="763"/>
      <c r="L5" s="763"/>
      <c r="M5" s="763"/>
      <c r="N5" s="763"/>
      <c r="O5" s="764"/>
      <c r="P5" s="650"/>
      <c r="Q5" s="765" t="s">
        <v>247</v>
      </c>
      <c r="R5" s="766"/>
      <c r="S5" s="766"/>
      <c r="T5" s="766"/>
      <c r="U5" s="766"/>
      <c r="V5" s="766"/>
      <c r="W5" s="766"/>
      <c r="X5" s="766"/>
      <c r="Y5" s="766"/>
      <c r="Z5" s="767"/>
      <c r="AA5" s="216"/>
      <c r="AB5" s="216"/>
      <c r="AC5" s="216"/>
      <c r="AD5" s="216"/>
      <c r="AE5" s="216"/>
    </row>
    <row r="6" spans="1:31" ht="19.5" customHeight="1" thickBot="1" x14ac:dyDescent="0.3">
      <c r="A6" s="492" t="s">
        <v>199</v>
      </c>
      <c r="B6" s="61"/>
      <c r="C6" s="112" t="s">
        <v>0</v>
      </c>
      <c r="D6" s="486" t="s">
        <v>1</v>
      </c>
      <c r="E6" s="68"/>
      <c r="P6" s="518"/>
      <c r="Q6" s="518"/>
      <c r="R6" s="518"/>
      <c r="S6" s="518"/>
      <c r="T6" s="518"/>
      <c r="AA6" s="141"/>
    </row>
    <row r="7" spans="1:31" ht="19.5" customHeight="1" x14ac:dyDescent="0.25">
      <c r="A7" s="485"/>
      <c r="B7" s="61"/>
      <c r="C7" s="178">
        <v>40360</v>
      </c>
      <c r="D7" s="511">
        <v>40360</v>
      </c>
      <c r="E7" s="87"/>
      <c r="F7" s="855" t="s">
        <v>187</v>
      </c>
      <c r="G7" s="856"/>
      <c r="H7" s="856"/>
      <c r="I7" s="856"/>
      <c r="J7" s="857"/>
      <c r="K7" s="648"/>
      <c r="L7" s="858" t="s">
        <v>196</v>
      </c>
      <c r="M7" s="859"/>
      <c r="N7" s="859"/>
      <c r="O7" s="860"/>
      <c r="P7" s="518"/>
      <c r="Q7" s="861" t="s">
        <v>187</v>
      </c>
      <c r="R7" s="862"/>
      <c r="S7" s="862"/>
      <c r="T7" s="862"/>
      <c r="U7" s="863"/>
      <c r="W7" s="864" t="s">
        <v>196</v>
      </c>
      <c r="X7" s="865"/>
      <c r="Y7" s="865"/>
      <c r="Z7" s="866"/>
    </row>
    <row r="8" spans="1:31" x14ac:dyDescent="0.25">
      <c r="A8" s="485" t="s">
        <v>121</v>
      </c>
      <c r="B8" s="61"/>
      <c r="C8" s="547">
        <v>663.98</v>
      </c>
      <c r="D8" s="539">
        <v>174.8</v>
      </c>
      <c r="E8" s="87"/>
      <c r="F8" s="867"/>
      <c r="G8" s="868"/>
      <c r="H8" s="868"/>
      <c r="I8" s="868"/>
      <c r="J8" s="869"/>
      <c r="K8" s="648"/>
      <c r="L8" s="870"/>
      <c r="M8" s="871"/>
      <c r="N8" s="871"/>
      <c r="O8" s="872"/>
      <c r="Q8" s="867"/>
      <c r="R8" s="868"/>
      <c r="S8" s="868"/>
      <c r="T8" s="868"/>
      <c r="U8" s="869"/>
      <c r="W8" s="870"/>
      <c r="X8" s="871"/>
      <c r="Y8" s="871"/>
      <c r="Z8" s="872"/>
    </row>
    <row r="9" spans="1:31" ht="15.75" thickBot="1" x14ac:dyDescent="0.3">
      <c r="A9" s="485" t="s">
        <v>5</v>
      </c>
      <c r="B9" s="61"/>
      <c r="C9" s="547">
        <f>C8/2</f>
        <v>331.99</v>
      </c>
      <c r="D9" s="539">
        <f>D8/2</f>
        <v>87.4</v>
      </c>
      <c r="E9" s="87"/>
      <c r="F9" s="481"/>
      <c r="G9" s="737" t="s">
        <v>137</v>
      </c>
      <c r="H9" s="738"/>
      <c r="I9" s="139"/>
      <c r="J9" s="482"/>
      <c r="K9" s="139"/>
      <c r="L9" s="483"/>
      <c r="M9" s="15"/>
      <c r="N9" s="167" t="s">
        <v>25</v>
      </c>
      <c r="O9" s="484" t="s">
        <v>26</v>
      </c>
      <c r="P9" s="648"/>
      <c r="Q9" s="481"/>
      <c r="R9" s="737" t="s">
        <v>137</v>
      </c>
      <c r="S9" s="738"/>
      <c r="T9" s="139"/>
      <c r="U9" s="482"/>
      <c r="W9" s="483"/>
      <c r="X9" s="15"/>
      <c r="Y9" s="167" t="s">
        <v>25</v>
      </c>
      <c r="Z9" s="484" t="s">
        <v>26</v>
      </c>
    </row>
    <row r="10" spans="1:31" ht="15.75" thickBot="1" x14ac:dyDescent="0.3">
      <c r="A10" s="834" t="s">
        <v>140</v>
      </c>
      <c r="B10" s="835"/>
      <c r="C10" s="835"/>
      <c r="D10" s="836"/>
      <c r="E10" s="87"/>
      <c r="F10" s="483"/>
      <c r="G10" s="167" t="s">
        <v>7</v>
      </c>
      <c r="H10" s="167" t="s">
        <v>6</v>
      </c>
      <c r="I10" s="167" t="s">
        <v>25</v>
      </c>
      <c r="J10" s="484" t="s">
        <v>26</v>
      </c>
      <c r="K10" s="483"/>
      <c r="L10" s="485"/>
      <c r="M10" s="112"/>
      <c r="N10" s="112"/>
      <c r="O10" s="523"/>
      <c r="P10" s="648"/>
      <c r="Q10" s="483"/>
      <c r="R10" s="167" t="s">
        <v>7</v>
      </c>
      <c r="S10" s="167" t="s">
        <v>6</v>
      </c>
      <c r="T10" s="167" t="s">
        <v>25</v>
      </c>
      <c r="U10" s="484" t="s">
        <v>26</v>
      </c>
      <c r="W10" s="485"/>
      <c r="X10" s="112"/>
      <c r="Y10" s="112"/>
      <c r="Z10" s="523"/>
    </row>
    <row r="11" spans="1:31" x14ac:dyDescent="0.25">
      <c r="A11" s="492" t="s">
        <v>107</v>
      </c>
      <c r="B11" s="142"/>
      <c r="C11" s="551">
        <v>331.99</v>
      </c>
      <c r="D11" s="552">
        <v>87.4</v>
      </c>
      <c r="E11" s="87"/>
      <c r="F11" s="485"/>
      <c r="G11" s="61"/>
      <c r="H11" s="61"/>
      <c r="I11" s="112"/>
      <c r="J11" s="486"/>
      <c r="K11" s="483"/>
      <c r="L11" s="487" t="s">
        <v>3</v>
      </c>
      <c r="M11" s="95"/>
      <c r="N11" s="95">
        <f>SUM(O11/12)</f>
        <v>1704.07</v>
      </c>
      <c r="O11" s="488">
        <f>(1704.07*12)</f>
        <v>20448.84</v>
      </c>
      <c r="P11" s="139"/>
      <c r="Q11" s="485"/>
      <c r="R11" s="61"/>
      <c r="S11" s="61"/>
      <c r="T11" s="112"/>
      <c r="U11" s="486"/>
      <c r="W11" s="487" t="s">
        <v>3</v>
      </c>
      <c r="X11" s="95"/>
      <c r="Y11" s="95">
        <v>1516.28</v>
      </c>
      <c r="Z11" s="571">
        <f>SUM(Y11*12)</f>
        <v>18195.36</v>
      </c>
      <c r="AA11" s="65"/>
      <c r="AB11" s="65">
        <f>Y11/2</f>
        <v>758.14</v>
      </c>
    </row>
    <row r="12" spans="1:31" x14ac:dyDescent="0.25">
      <c r="A12" s="505"/>
      <c r="B12" s="143"/>
      <c r="C12" s="547"/>
      <c r="D12" s="539"/>
      <c r="E12" s="87"/>
      <c r="F12" s="487" t="s">
        <v>3</v>
      </c>
      <c r="G12" s="95">
        <f>(I12*6.6%)/2</f>
        <v>56.234310000000001</v>
      </c>
      <c r="H12" s="95">
        <f>I12/2-G12</f>
        <v>795.80068999999992</v>
      </c>
      <c r="I12" s="95">
        <f>SUM(J12/12)</f>
        <v>1704.07</v>
      </c>
      <c r="J12" s="488">
        <f>(1704.07*12)</f>
        <v>20448.84</v>
      </c>
      <c r="K12" s="483"/>
      <c r="L12" s="485"/>
      <c r="M12" s="115"/>
      <c r="N12" s="115"/>
      <c r="O12" s="689"/>
      <c r="P12" s="194"/>
      <c r="Q12" s="487" t="s">
        <v>3</v>
      </c>
      <c r="R12" s="95">
        <v>0</v>
      </c>
      <c r="S12" s="95">
        <f>(T12/2)-R12</f>
        <v>758.14</v>
      </c>
      <c r="T12" s="95">
        <v>1516.28</v>
      </c>
      <c r="U12" s="571">
        <f>T12*12</f>
        <v>18195.36</v>
      </c>
      <c r="W12" s="485"/>
      <c r="X12" s="115"/>
      <c r="Y12" s="115"/>
      <c r="Z12" s="523"/>
    </row>
    <row r="13" spans="1:31" x14ac:dyDescent="0.25">
      <c r="A13" s="492" t="s">
        <v>108</v>
      </c>
      <c r="B13" s="143"/>
      <c r="C13" s="547">
        <f>C9*0.87</f>
        <v>288.8313</v>
      </c>
      <c r="D13" s="539">
        <f>D9*87%</f>
        <v>76.038000000000011</v>
      </c>
      <c r="E13" s="87"/>
      <c r="F13" s="485"/>
      <c r="G13" s="124"/>
      <c r="H13" s="124"/>
      <c r="I13" s="115"/>
      <c r="J13" s="512"/>
      <c r="K13" s="483"/>
      <c r="L13" s="487" t="s">
        <v>2</v>
      </c>
      <c r="M13" s="95"/>
      <c r="N13" s="95">
        <f>SUM(O13/12)</f>
        <v>751.58</v>
      </c>
      <c r="O13" s="488">
        <f>(751.58*12)</f>
        <v>9018.9600000000009</v>
      </c>
      <c r="P13" s="194"/>
      <c r="Q13" s="485"/>
      <c r="R13" s="61"/>
      <c r="S13" s="124"/>
      <c r="T13" s="115"/>
      <c r="U13" s="512"/>
      <c r="W13" s="487" t="s">
        <v>2</v>
      </c>
      <c r="X13" s="95"/>
      <c r="Y13" s="95">
        <v>668.76</v>
      </c>
      <c r="Z13" s="571">
        <f>SUM(Y13*12)</f>
        <v>8025.12</v>
      </c>
      <c r="AA13" s="65"/>
      <c r="AB13" s="65">
        <f>Y13/2</f>
        <v>334.38</v>
      </c>
    </row>
    <row r="14" spans="1:31" x14ac:dyDescent="0.25">
      <c r="A14" s="525"/>
      <c r="B14" s="144"/>
      <c r="C14" s="553"/>
      <c r="D14" s="554"/>
      <c r="E14" s="87"/>
      <c r="F14" s="487" t="s">
        <v>2</v>
      </c>
      <c r="G14" s="569">
        <f>(I14*6.6%)/2</f>
        <v>24.802140000000001</v>
      </c>
      <c r="H14" s="95">
        <f>SUM(I14/2)-G14</f>
        <v>350.98786000000001</v>
      </c>
      <c r="I14" s="95">
        <f>SUM(J14/12)</f>
        <v>751.58</v>
      </c>
      <c r="J14" s="488">
        <f>751.58*12</f>
        <v>9018.9600000000009</v>
      </c>
      <c r="K14" s="483"/>
      <c r="L14" s="489"/>
      <c r="M14" s="149"/>
      <c r="N14" s="150"/>
      <c r="O14" s="570" t="s">
        <v>206</v>
      </c>
      <c r="P14" s="194"/>
      <c r="Q14" s="487" t="s">
        <v>2</v>
      </c>
      <c r="R14" s="569">
        <v>0</v>
      </c>
      <c r="S14" s="95">
        <f>(T14/2)-R14</f>
        <v>334.38</v>
      </c>
      <c r="T14" s="95">
        <v>668.76</v>
      </c>
      <c r="U14" s="571">
        <f>T14*12</f>
        <v>8025.12</v>
      </c>
      <c r="W14" s="489"/>
      <c r="X14" s="149"/>
      <c r="Y14" s="150"/>
      <c r="Z14" s="570" t="s">
        <v>206</v>
      </c>
    </row>
    <row r="15" spans="1:31" ht="15.75" thickBot="1" x14ac:dyDescent="0.3">
      <c r="A15" s="527" t="s">
        <v>110</v>
      </c>
      <c r="B15" s="144"/>
      <c r="C15" s="547">
        <f>C9*75%</f>
        <v>248.99250000000001</v>
      </c>
      <c r="D15" s="555">
        <f>D9*75%</f>
        <v>65.550000000000011</v>
      </c>
      <c r="E15" s="87"/>
      <c r="F15" s="485"/>
      <c r="G15" s="61"/>
      <c r="H15" s="61"/>
      <c r="I15" s="117"/>
      <c r="J15" s="491"/>
      <c r="K15" s="483"/>
      <c r="L15" s="485"/>
      <c r="M15" s="61"/>
      <c r="N15" s="117"/>
      <c r="O15" s="491"/>
      <c r="P15" s="194"/>
      <c r="Q15" s="489"/>
      <c r="R15" s="149"/>
      <c r="S15" s="149"/>
      <c r="T15" s="150"/>
      <c r="U15" s="490"/>
      <c r="W15" s="485"/>
      <c r="X15" s="61"/>
      <c r="Y15" s="117"/>
      <c r="Z15" s="491"/>
    </row>
    <row r="16" spans="1:31" ht="15.75" thickBot="1" x14ac:dyDescent="0.3">
      <c r="A16" s="505"/>
      <c r="B16" s="143"/>
      <c r="C16" s="556"/>
      <c r="D16" s="557"/>
      <c r="E16" s="87"/>
      <c r="F16" s="834" t="s">
        <v>122</v>
      </c>
      <c r="G16" s="835"/>
      <c r="H16" s="835"/>
      <c r="I16" s="835"/>
      <c r="J16" s="836"/>
      <c r="K16" s="483"/>
      <c r="L16" s="485"/>
      <c r="M16" s="61"/>
      <c r="N16" s="117"/>
      <c r="O16" s="491"/>
      <c r="P16" s="194"/>
      <c r="Q16" s="834" t="s">
        <v>122</v>
      </c>
      <c r="R16" s="835"/>
      <c r="S16" s="835"/>
      <c r="T16" s="835"/>
      <c r="U16" s="836"/>
      <c r="W16" s="485"/>
      <c r="X16" s="61"/>
      <c r="Y16" s="117"/>
      <c r="Z16" s="491"/>
      <c r="AB16" s="95"/>
    </row>
    <row r="17" spans="1:34" ht="21" customHeight="1" thickBot="1" x14ac:dyDescent="0.3">
      <c r="A17" s="527" t="s">
        <v>109</v>
      </c>
      <c r="B17" s="143"/>
      <c r="C17" s="558">
        <f>C9*0.62</f>
        <v>205.8338</v>
      </c>
      <c r="D17" s="548">
        <f>D9*62%</f>
        <v>54.188000000000002</v>
      </c>
      <c r="E17" s="87"/>
      <c r="F17" s="673"/>
      <c r="G17" s="676"/>
      <c r="H17" s="676"/>
      <c r="I17" s="676"/>
      <c r="J17" s="677"/>
      <c r="K17" s="483"/>
      <c r="L17" s="828" t="s">
        <v>140</v>
      </c>
      <c r="M17" s="829"/>
      <c r="N17" s="829"/>
      <c r="O17" s="830"/>
      <c r="P17" s="194"/>
      <c r="Q17" s="673"/>
      <c r="R17" s="563"/>
      <c r="S17" s="563"/>
      <c r="T17" s="563"/>
      <c r="U17" s="674"/>
      <c r="W17" s="828" t="s">
        <v>140</v>
      </c>
      <c r="X17" s="829"/>
      <c r="Y17" s="829"/>
      <c r="Z17" s="830"/>
    </row>
    <row r="18" spans="1:34" ht="21" customHeight="1" thickBot="1" x14ac:dyDescent="0.3">
      <c r="A18" s="503"/>
      <c r="B18" s="145"/>
      <c r="C18" s="556"/>
      <c r="D18" s="559"/>
      <c r="E18" s="87"/>
      <c r="F18" s="837" t="s">
        <v>138</v>
      </c>
      <c r="G18" s="838"/>
      <c r="H18" s="838"/>
      <c r="I18" s="838"/>
      <c r="J18" s="839"/>
      <c r="K18" s="483"/>
      <c r="L18" s="492" t="s">
        <v>107</v>
      </c>
      <c r="M18" s="61"/>
      <c r="N18" s="93" t="s">
        <v>83</v>
      </c>
      <c r="O18" s="524" t="s">
        <v>6</v>
      </c>
      <c r="P18" s="194"/>
      <c r="Q18" s="837" t="s">
        <v>138</v>
      </c>
      <c r="R18" s="838"/>
      <c r="S18" s="838"/>
      <c r="T18" s="838"/>
      <c r="U18" s="839"/>
      <c r="W18" s="492" t="s">
        <v>107</v>
      </c>
      <c r="X18" s="61"/>
      <c r="Y18" s="93" t="s">
        <v>83</v>
      </c>
      <c r="Z18" s="524" t="s">
        <v>6</v>
      </c>
      <c r="AD18" t="s">
        <v>182</v>
      </c>
    </row>
    <row r="19" spans="1:34" ht="15.75" customHeight="1" thickBot="1" x14ac:dyDescent="0.3">
      <c r="A19" s="531" t="s">
        <v>106</v>
      </c>
      <c r="B19" s="507"/>
      <c r="C19" s="549">
        <f>C9*0.5</f>
        <v>165.995</v>
      </c>
      <c r="D19" s="550">
        <f>D9*50%</f>
        <v>43.7</v>
      </c>
      <c r="E19" s="110"/>
      <c r="F19" s="678"/>
      <c r="G19" s="679"/>
      <c r="H19" s="679"/>
      <c r="I19" s="680"/>
      <c r="J19" s="522"/>
      <c r="K19" s="483"/>
      <c r="L19" s="505" t="s">
        <v>3</v>
      </c>
      <c r="M19" s="143"/>
      <c r="N19" s="546">
        <f>((N11/2)*6.6%)</f>
        <v>56.234310000000001</v>
      </c>
      <c r="O19" s="539">
        <f>((N11/2)-N19)</f>
        <v>795.80068999999992</v>
      </c>
      <c r="P19" s="194"/>
      <c r="Q19" s="675"/>
      <c r="R19" s="495"/>
      <c r="S19" s="495"/>
      <c r="T19" s="495"/>
      <c r="U19" s="496"/>
      <c r="W19" s="505" t="s">
        <v>3</v>
      </c>
      <c r="X19" s="143"/>
      <c r="Y19" s="546">
        <f>(Y11/2)-Z19</f>
        <v>0</v>
      </c>
      <c r="Z19" s="539">
        <f>(Y11/2)</f>
        <v>758.14</v>
      </c>
      <c r="AA19" s="479"/>
      <c r="AB19" s="84">
        <f>Y19+Z19</f>
        <v>758.14</v>
      </c>
      <c r="AD19" t="s">
        <v>181</v>
      </c>
    </row>
    <row r="20" spans="1:34" ht="15" customHeight="1" thickBot="1" x14ac:dyDescent="0.3">
      <c r="A20" s="91"/>
      <c r="B20" s="143"/>
      <c r="C20" s="281"/>
      <c r="D20" s="546"/>
      <c r="E20" s="92"/>
      <c r="F20" s="834" t="s">
        <v>144</v>
      </c>
      <c r="G20" s="835"/>
      <c r="H20" s="835"/>
      <c r="I20" s="835"/>
      <c r="J20" s="836"/>
      <c r="K20" s="483"/>
      <c r="L20" s="505" t="s">
        <v>2</v>
      </c>
      <c r="M20" s="143"/>
      <c r="N20" s="546">
        <f>(N13/2)*6.6%</f>
        <v>24.802140000000001</v>
      </c>
      <c r="O20" s="539">
        <f>N13/2-N20</f>
        <v>350.98786000000001</v>
      </c>
      <c r="P20" s="194"/>
      <c r="Q20" s="834" t="s">
        <v>144</v>
      </c>
      <c r="R20" s="835"/>
      <c r="S20" s="835"/>
      <c r="T20" s="835"/>
      <c r="U20" s="836"/>
      <c r="W20" s="505" t="s">
        <v>2</v>
      </c>
      <c r="X20" s="143"/>
      <c r="Y20" s="546">
        <f>SUM(R14)</f>
        <v>0</v>
      </c>
      <c r="Z20" s="539">
        <f>Y13/2-Y20</f>
        <v>334.38</v>
      </c>
      <c r="AA20" s="84"/>
      <c r="AB20" s="84">
        <f>Y20+Z20</f>
        <v>334.38</v>
      </c>
      <c r="AD20" s="716" t="s">
        <v>210</v>
      </c>
      <c r="AE20" s="716"/>
      <c r="AF20" s="716"/>
      <c r="AG20" s="716"/>
      <c r="AH20" s="716"/>
    </row>
    <row r="21" spans="1:34" ht="15.75" thickBot="1" x14ac:dyDescent="0.3">
      <c r="A21" s="91"/>
      <c r="B21" s="143"/>
      <c r="C21" s="281"/>
      <c r="D21" s="546"/>
      <c r="E21" s="92"/>
      <c r="F21" s="503"/>
      <c r="G21" s="145"/>
      <c r="H21" s="145"/>
      <c r="I21" s="125"/>
      <c r="J21" s="561" t="s">
        <v>5</v>
      </c>
      <c r="K21" s="483"/>
      <c r="L21" s="525"/>
      <c r="M21" s="144"/>
      <c r="N21" s="106"/>
      <c r="O21" s="526"/>
      <c r="P21" s="194"/>
      <c r="Q21" s="503"/>
      <c r="R21" s="145"/>
      <c r="S21" s="145"/>
      <c r="T21" s="125"/>
      <c r="U21" s="561" t="s">
        <v>5</v>
      </c>
      <c r="W21" s="525"/>
      <c r="X21" s="144"/>
      <c r="Y21" s="106"/>
      <c r="Z21" s="526"/>
      <c r="AA21" s="84"/>
      <c r="AB21" s="84"/>
    </row>
    <row r="22" spans="1:34" ht="15" customHeight="1" thickBot="1" x14ac:dyDescent="0.3">
      <c r="A22" s="840" t="s">
        <v>120</v>
      </c>
      <c r="B22" s="841"/>
      <c r="C22" s="841"/>
      <c r="D22" s="842"/>
      <c r="E22" s="108"/>
      <c r="F22" s="487" t="s">
        <v>3</v>
      </c>
      <c r="G22" s="145"/>
      <c r="H22" s="95">
        <v>3300</v>
      </c>
      <c r="I22" s="125"/>
      <c r="J22" s="538">
        <f>SUM(H22/24)</f>
        <v>137.5</v>
      </c>
      <c r="K22" s="483"/>
      <c r="L22" s="492" t="s">
        <v>108</v>
      </c>
      <c r="M22" s="144"/>
      <c r="N22" s="93" t="s">
        <v>83</v>
      </c>
      <c r="O22" s="524" t="s">
        <v>6</v>
      </c>
      <c r="P22" s="194"/>
      <c r="Q22" s="487" t="s">
        <v>3</v>
      </c>
      <c r="R22" s="145"/>
      <c r="S22" s="95">
        <v>4203.8599999999997</v>
      </c>
      <c r="T22" s="125"/>
      <c r="U22" s="538">
        <f>SUM(S22/24)</f>
        <v>175.16083333333333</v>
      </c>
      <c r="W22" s="492" t="s">
        <v>108</v>
      </c>
      <c r="X22" s="144"/>
      <c r="Y22" s="93" t="s">
        <v>83</v>
      </c>
      <c r="Z22" s="524" t="s">
        <v>6</v>
      </c>
      <c r="AA22" s="84"/>
      <c r="AB22" s="84"/>
    </row>
    <row r="23" spans="1:34" ht="15" customHeight="1" x14ac:dyDescent="0.25">
      <c r="A23" s="846" t="s">
        <v>198</v>
      </c>
      <c r="B23" s="847"/>
      <c r="C23" s="847"/>
      <c r="D23" s="848"/>
      <c r="E23" s="110"/>
      <c r="F23" s="505"/>
      <c r="G23" s="646"/>
      <c r="H23" s="646"/>
      <c r="I23" s="125"/>
      <c r="J23" s="491"/>
      <c r="K23" s="483"/>
      <c r="L23" s="505" t="s">
        <v>3</v>
      </c>
      <c r="M23" s="143"/>
      <c r="N23" s="546">
        <f>N11/2-O23</f>
        <v>110.76454999999999</v>
      </c>
      <c r="O23" s="539">
        <f>(N11/2)*87%</f>
        <v>741.27044999999998</v>
      </c>
      <c r="P23" s="194"/>
      <c r="Q23" s="505"/>
      <c r="R23" s="646"/>
      <c r="S23" s="688"/>
      <c r="T23" s="125"/>
      <c r="U23" s="491"/>
      <c r="W23" s="505" t="s">
        <v>3</v>
      </c>
      <c r="X23" s="143"/>
      <c r="Y23" s="546">
        <f>Y11/2-Z23</f>
        <v>98.558200000000056</v>
      </c>
      <c r="Z23" s="539">
        <f>Z19*87%</f>
        <v>659.58179999999993</v>
      </c>
      <c r="AA23" s="84"/>
      <c r="AB23" s="84">
        <f>Y23+Z23</f>
        <v>758.14</v>
      </c>
      <c r="AC23" s="283">
        <v>0.87</v>
      </c>
    </row>
    <row r="24" spans="1:34" x14ac:dyDescent="0.25">
      <c r="A24" s="492" t="s">
        <v>199</v>
      </c>
      <c r="B24" s="61"/>
      <c r="C24" s="112" t="s">
        <v>0</v>
      </c>
      <c r="D24" s="486" t="s">
        <v>1</v>
      </c>
      <c r="E24" s="92"/>
      <c r="F24" s="487" t="s">
        <v>2</v>
      </c>
      <c r="G24" s="143"/>
      <c r="H24" s="95">
        <v>1650</v>
      </c>
      <c r="I24" s="125"/>
      <c r="J24" s="539">
        <f>SUM(H24/24)</f>
        <v>68.75</v>
      </c>
      <c r="K24" s="483"/>
      <c r="L24" s="505" t="s">
        <v>2</v>
      </c>
      <c r="M24" s="143"/>
      <c r="N24" s="546">
        <f>N13/2-O24</f>
        <v>70.430561800000021</v>
      </c>
      <c r="O24" s="539">
        <f>O20*87%</f>
        <v>305.3594382</v>
      </c>
      <c r="P24" s="194"/>
      <c r="Q24" s="487" t="s">
        <v>2</v>
      </c>
      <c r="R24" s="143"/>
      <c r="S24" s="95">
        <v>2048.59</v>
      </c>
      <c r="T24" s="125"/>
      <c r="U24" s="539">
        <f>SUM(S24/24)</f>
        <v>85.357916666666668</v>
      </c>
      <c r="W24" s="505" t="s">
        <v>2</v>
      </c>
      <c r="X24" s="143"/>
      <c r="Y24" s="546">
        <f>Y13/2-Z24</f>
        <v>43.469400000000007</v>
      </c>
      <c r="Z24" s="539">
        <f>Z20*87%</f>
        <v>290.91059999999999</v>
      </c>
      <c r="AA24" s="84"/>
      <c r="AB24" s="84">
        <f>Y24+Z24</f>
        <v>334.38</v>
      </c>
    </row>
    <row r="25" spans="1:34" x14ac:dyDescent="0.25">
      <c r="A25" s="485"/>
      <c r="B25" s="61"/>
      <c r="C25" s="180">
        <v>39630</v>
      </c>
      <c r="D25" s="532">
        <v>39630</v>
      </c>
      <c r="E25" s="92"/>
      <c r="F25" s="503"/>
      <c r="G25" s="145"/>
      <c r="H25" s="173"/>
      <c r="I25" s="125"/>
      <c r="J25" s="504"/>
      <c r="K25" s="483"/>
      <c r="L25" s="503"/>
      <c r="M25" s="145"/>
      <c r="N25" s="91"/>
      <c r="O25" s="504"/>
      <c r="P25" s="194"/>
      <c r="Q25" s="503"/>
      <c r="R25" s="145"/>
      <c r="S25" s="173"/>
      <c r="T25" s="125"/>
      <c r="U25" s="504"/>
      <c r="W25" s="503"/>
      <c r="X25" s="145"/>
      <c r="Y25" s="91"/>
      <c r="Z25" s="504"/>
      <c r="AA25" s="84"/>
      <c r="AB25" s="84"/>
    </row>
    <row r="26" spans="1:34" x14ac:dyDescent="0.25">
      <c r="A26" s="485" t="s">
        <v>121</v>
      </c>
      <c r="B26" s="61"/>
      <c r="C26" s="547">
        <v>663.98</v>
      </c>
      <c r="D26" s="539">
        <v>174.8</v>
      </c>
      <c r="E26" s="108"/>
      <c r="F26" s="822" t="s">
        <v>146</v>
      </c>
      <c r="G26" s="823"/>
      <c r="H26" s="823"/>
      <c r="I26" s="823"/>
      <c r="J26" s="824"/>
      <c r="K26" s="483"/>
      <c r="L26" s="527" t="s">
        <v>110</v>
      </c>
      <c r="M26" s="145"/>
      <c r="N26" s="164" t="s">
        <v>83</v>
      </c>
      <c r="O26" s="519" t="s">
        <v>6</v>
      </c>
      <c r="P26" s="194"/>
      <c r="Q26" s="822" t="s">
        <v>146</v>
      </c>
      <c r="R26" s="823"/>
      <c r="S26" s="823"/>
      <c r="T26" s="823"/>
      <c r="U26" s="824"/>
      <c r="W26" s="527" t="s">
        <v>110</v>
      </c>
      <c r="X26" s="145"/>
      <c r="Y26" s="164" t="s">
        <v>83</v>
      </c>
      <c r="Z26" s="519" t="s">
        <v>6</v>
      </c>
      <c r="AA26" s="84"/>
      <c r="AB26" s="84"/>
    </row>
    <row r="27" spans="1:34" ht="15.75" thickBot="1" x14ac:dyDescent="0.3">
      <c r="A27" s="485" t="s">
        <v>5</v>
      </c>
      <c r="B27" s="61"/>
      <c r="C27" s="547">
        <v>331.99</v>
      </c>
      <c r="D27" s="539">
        <f>D26/2</f>
        <v>87.4</v>
      </c>
      <c r="E27" s="110"/>
      <c r="F27" s="822" t="s">
        <v>159</v>
      </c>
      <c r="G27" s="823"/>
      <c r="H27" s="823"/>
      <c r="I27" s="823"/>
      <c r="J27" s="824"/>
      <c r="K27" s="483"/>
      <c r="L27" s="505" t="s">
        <v>3</v>
      </c>
      <c r="M27" s="646"/>
      <c r="N27" s="546">
        <f>N11/2-O27</f>
        <v>213.00874999999996</v>
      </c>
      <c r="O27" s="539">
        <f>(N11/2)*75%</f>
        <v>639.02625</v>
      </c>
      <c r="P27" s="194"/>
      <c r="Q27" s="822" t="s">
        <v>159</v>
      </c>
      <c r="R27" s="823"/>
      <c r="S27" s="823"/>
      <c r="T27" s="823"/>
      <c r="U27" s="824"/>
      <c r="W27" s="505" t="s">
        <v>3</v>
      </c>
      <c r="X27" s="646"/>
      <c r="Y27" s="546">
        <f>Y11/2-Z27</f>
        <v>189.53499999999997</v>
      </c>
      <c r="Z27" s="539">
        <f>(Y11/2)*75%</f>
        <v>568.60500000000002</v>
      </c>
      <c r="AA27" s="84"/>
      <c r="AB27" s="84">
        <f t="shared" ref="AB27:AB35" si="0">Y27+Z27</f>
        <v>758.14</v>
      </c>
      <c r="AC27" s="283">
        <v>0.75</v>
      </c>
    </row>
    <row r="28" spans="1:34" ht="15.75" thickBot="1" x14ac:dyDescent="0.3">
      <c r="A28" s="834" t="s">
        <v>140</v>
      </c>
      <c r="B28" s="835"/>
      <c r="C28" s="835"/>
      <c r="D28" s="836"/>
      <c r="E28" s="110"/>
      <c r="F28" s="822" t="s">
        <v>145</v>
      </c>
      <c r="G28" s="823"/>
      <c r="H28" s="823"/>
      <c r="I28" s="823"/>
      <c r="J28" s="824"/>
      <c r="K28" s="483"/>
      <c r="L28" s="505" t="s">
        <v>2</v>
      </c>
      <c r="M28" s="143"/>
      <c r="N28" s="546">
        <f>N13/2-O28</f>
        <v>112.549105</v>
      </c>
      <c r="O28" s="539">
        <f>O20*75%</f>
        <v>263.24089500000002</v>
      </c>
      <c r="P28" s="194"/>
      <c r="Q28" s="822" t="s">
        <v>145</v>
      </c>
      <c r="R28" s="823"/>
      <c r="S28" s="823"/>
      <c r="T28" s="823"/>
      <c r="U28" s="824"/>
      <c r="W28" s="505" t="s">
        <v>2</v>
      </c>
      <c r="X28" s="143"/>
      <c r="Y28" s="546">
        <f>Y13/2-Z28</f>
        <v>83.594999999999999</v>
      </c>
      <c r="Z28" s="539">
        <f>Z20*75%</f>
        <v>250.785</v>
      </c>
      <c r="AA28" s="84"/>
      <c r="AB28" s="84">
        <f t="shared" si="0"/>
        <v>334.38</v>
      </c>
    </row>
    <row r="29" spans="1:34" ht="15.75" thickBot="1" x14ac:dyDescent="0.3">
      <c r="A29" s="492" t="s">
        <v>107</v>
      </c>
      <c r="B29" s="61"/>
      <c r="C29" s="547">
        <v>331.99</v>
      </c>
      <c r="D29" s="539">
        <f>D27</f>
        <v>87.4</v>
      </c>
      <c r="E29" s="92"/>
      <c r="F29" s="506"/>
      <c r="G29" s="507"/>
      <c r="H29" s="507"/>
      <c r="I29" s="508"/>
      <c r="J29" s="509"/>
      <c r="K29" s="156"/>
      <c r="L29" s="503"/>
      <c r="M29" s="145"/>
      <c r="N29" s="91"/>
      <c r="O29" s="504"/>
      <c r="P29" s="194"/>
      <c r="Q29" s="506"/>
      <c r="R29" s="507"/>
      <c r="S29" s="507"/>
      <c r="T29" s="508"/>
      <c r="U29" s="509"/>
      <c r="W29" s="503"/>
      <c r="X29" s="145"/>
      <c r="Y29" s="91"/>
      <c r="Z29" s="504"/>
      <c r="AA29" s="84"/>
      <c r="AB29" s="84"/>
    </row>
    <row r="30" spans="1:34" ht="15.75" thickBot="1" x14ac:dyDescent="0.3">
      <c r="A30" s="501"/>
      <c r="B30" s="143"/>
      <c r="C30" s="556"/>
      <c r="D30" s="557"/>
      <c r="E30" s="108"/>
      <c r="K30" s="156"/>
      <c r="L30" s="527" t="s">
        <v>109</v>
      </c>
      <c r="M30" s="145"/>
      <c r="N30" s="164" t="s">
        <v>83</v>
      </c>
      <c r="O30" s="519" t="s">
        <v>6</v>
      </c>
      <c r="P30" s="194"/>
      <c r="W30" s="527" t="s">
        <v>109</v>
      </c>
      <c r="X30" s="145"/>
      <c r="Y30" s="164" t="s">
        <v>83</v>
      </c>
      <c r="Z30" s="519" t="s">
        <v>6</v>
      </c>
      <c r="AA30" s="84"/>
      <c r="AB30" s="84"/>
    </row>
    <row r="31" spans="1:34" ht="16.5" thickBot="1" x14ac:dyDescent="0.3">
      <c r="A31" s="492" t="s">
        <v>108</v>
      </c>
      <c r="B31" s="143"/>
      <c r="C31" s="547">
        <v>288.83</v>
      </c>
      <c r="D31" s="539">
        <f>D27*87%</f>
        <v>76.038000000000011</v>
      </c>
      <c r="E31" s="110"/>
      <c r="F31" s="840" t="s">
        <v>120</v>
      </c>
      <c r="G31" s="841"/>
      <c r="H31" s="841"/>
      <c r="I31" s="841"/>
      <c r="J31" s="842"/>
      <c r="K31" s="159"/>
      <c r="L31" s="505" t="s">
        <v>3</v>
      </c>
      <c r="M31" s="143"/>
      <c r="N31" s="547">
        <f>N11/2-O31</f>
        <v>323.77329999999995</v>
      </c>
      <c r="O31" s="548">
        <f>(N11/2)*62%</f>
        <v>528.26170000000002</v>
      </c>
      <c r="P31" s="156"/>
      <c r="W31" s="505" t="s">
        <v>3</v>
      </c>
      <c r="X31" s="143"/>
      <c r="Y31" s="547">
        <f>Y11/2-Z31</f>
        <v>288.09320000000002</v>
      </c>
      <c r="Z31" s="548">
        <f>(Y11/2)*62%</f>
        <v>470.04679999999996</v>
      </c>
      <c r="AA31" s="84"/>
      <c r="AB31" s="84">
        <f t="shared" si="0"/>
        <v>758.14</v>
      </c>
      <c r="AC31" s="283">
        <v>0.62</v>
      </c>
    </row>
    <row r="32" spans="1:34" x14ac:dyDescent="0.25">
      <c r="A32" s="525"/>
      <c r="B32" s="144"/>
      <c r="C32" s="553"/>
      <c r="D32" s="554"/>
      <c r="E32" s="92"/>
      <c r="F32" s="849" t="s">
        <v>195</v>
      </c>
      <c r="G32" s="850"/>
      <c r="H32" s="850"/>
      <c r="I32" s="850"/>
      <c r="J32" s="851"/>
      <c r="K32" s="646"/>
      <c r="L32" s="505" t="s">
        <v>2</v>
      </c>
      <c r="M32" s="143"/>
      <c r="N32" s="547">
        <f>(N13/2)-O32</f>
        <v>158.17752680000001</v>
      </c>
      <c r="O32" s="548">
        <f>O20*62%</f>
        <v>217.61247320000001</v>
      </c>
      <c r="P32" s="156"/>
      <c r="W32" s="505" t="s">
        <v>2</v>
      </c>
      <c r="X32" s="143"/>
      <c r="Y32" s="547">
        <f>Y13/2-Z32</f>
        <v>127.06440000000001</v>
      </c>
      <c r="Z32" s="548">
        <f>Z20*62%</f>
        <v>207.31559999999999</v>
      </c>
      <c r="AA32" s="84"/>
      <c r="AB32" s="84">
        <f t="shared" si="0"/>
        <v>334.38</v>
      </c>
    </row>
    <row r="33" spans="1:31" x14ac:dyDescent="0.25">
      <c r="A33" s="527" t="s">
        <v>110</v>
      </c>
      <c r="B33" s="144"/>
      <c r="C33" s="547">
        <v>248.99</v>
      </c>
      <c r="D33" s="539">
        <f>D27*75%</f>
        <v>65.550000000000011</v>
      </c>
      <c r="E33" s="92"/>
      <c r="F33" s="852" t="s">
        <v>211</v>
      </c>
      <c r="G33" s="853"/>
      <c r="H33" s="853"/>
      <c r="I33" s="853"/>
      <c r="J33" s="854"/>
      <c r="K33" s="646"/>
      <c r="L33" s="503"/>
      <c r="M33" s="145"/>
      <c r="N33" s="91"/>
      <c r="O33" s="528"/>
      <c r="P33" s="159"/>
      <c r="W33" s="503"/>
      <c r="X33" s="145"/>
      <c r="Y33" s="91"/>
      <c r="Z33" s="528"/>
      <c r="AA33" s="84"/>
      <c r="AB33" s="84"/>
    </row>
    <row r="34" spans="1:31" ht="15" customHeight="1" thickBot="1" x14ac:dyDescent="0.3">
      <c r="A34" s="501"/>
      <c r="B34" s="143"/>
      <c r="C34" s="556"/>
      <c r="D34" s="557"/>
      <c r="E34" s="108"/>
      <c r="F34" s="831" t="s">
        <v>194</v>
      </c>
      <c r="G34" s="832"/>
      <c r="H34" s="832"/>
      <c r="I34" s="832"/>
      <c r="J34" s="833"/>
      <c r="K34" s="646"/>
      <c r="L34" s="527" t="s">
        <v>106</v>
      </c>
      <c r="M34" s="143"/>
      <c r="N34" s="164" t="s">
        <v>83</v>
      </c>
      <c r="O34" s="519" t="s">
        <v>6</v>
      </c>
      <c r="P34" s="646"/>
      <c r="W34" s="527" t="s">
        <v>106</v>
      </c>
      <c r="X34" s="143"/>
      <c r="Y34" s="164" t="s">
        <v>83</v>
      </c>
      <c r="Z34" s="519" t="s">
        <v>6</v>
      </c>
      <c r="AA34" s="84"/>
      <c r="AB34" s="84"/>
    </row>
    <row r="35" spans="1:31" x14ac:dyDescent="0.25">
      <c r="A35" s="527" t="s">
        <v>109</v>
      </c>
      <c r="B35" s="143"/>
      <c r="C35" s="558">
        <v>205.83</v>
      </c>
      <c r="D35" s="548">
        <f>D27*62%</f>
        <v>54.188000000000002</v>
      </c>
      <c r="E35" s="110"/>
      <c r="K35" s="161"/>
      <c r="L35" s="505" t="s">
        <v>3</v>
      </c>
      <c r="M35" s="143"/>
      <c r="N35" s="547">
        <f>N11/2-O35</f>
        <v>426.01749999999998</v>
      </c>
      <c r="O35" s="539">
        <f>N11/2/2</f>
        <v>426.01749999999998</v>
      </c>
      <c r="P35" s="646"/>
      <c r="W35" s="505" t="s">
        <v>3</v>
      </c>
      <c r="X35" s="143"/>
      <c r="Y35" s="547">
        <f>Y11/2-Z35</f>
        <v>379.07</v>
      </c>
      <c r="Z35" s="539">
        <f>(Y11/2)*50%</f>
        <v>379.07</v>
      </c>
      <c r="AA35" s="84"/>
      <c r="AB35" s="84">
        <f t="shared" si="0"/>
        <v>758.14</v>
      </c>
      <c r="AC35" s="283">
        <v>0.5</v>
      </c>
    </row>
    <row r="36" spans="1:31" ht="15.75" thickBot="1" x14ac:dyDescent="0.3">
      <c r="A36" s="503"/>
      <c r="B36" s="145"/>
      <c r="C36" s="556"/>
      <c r="D36" s="559"/>
      <c r="E36" s="92"/>
      <c r="F36" s="124"/>
      <c r="G36" s="143"/>
      <c r="H36" s="143"/>
      <c r="I36" s="125"/>
      <c r="J36" s="156"/>
      <c r="K36" s="156"/>
      <c r="L36" s="529" t="s">
        <v>2</v>
      </c>
      <c r="M36" s="521"/>
      <c r="N36" s="549">
        <f>(N13/2-O36)</f>
        <v>187.89500000000001</v>
      </c>
      <c r="O36" s="550">
        <f>(N13/2/2)</f>
        <v>187.89500000000001</v>
      </c>
      <c r="P36" s="646"/>
      <c r="Q36" s="646"/>
      <c r="R36" s="646"/>
      <c r="S36" s="646"/>
      <c r="T36" s="646"/>
      <c r="W36" s="529" t="s">
        <v>2</v>
      </c>
      <c r="X36" s="521"/>
      <c r="Y36" s="549">
        <f>Y13/2-Z36</f>
        <v>167.19</v>
      </c>
      <c r="Z36" s="550">
        <f>Y13/2/2</f>
        <v>167.19</v>
      </c>
      <c r="AA36" s="84"/>
      <c r="AB36" s="84">
        <f>Y36+Z36</f>
        <v>334.38</v>
      </c>
    </row>
    <row r="37" spans="1:31" ht="15.75" thickBot="1" x14ac:dyDescent="0.3">
      <c r="A37" s="531" t="s">
        <v>106</v>
      </c>
      <c r="B37" s="507"/>
      <c r="C37" s="549">
        <v>166</v>
      </c>
      <c r="D37" s="550">
        <f>D27*50%</f>
        <v>43.7</v>
      </c>
      <c r="E37" s="92"/>
      <c r="F37" s="124"/>
      <c r="G37" s="143"/>
      <c r="H37" s="143"/>
      <c r="I37" s="125"/>
      <c r="J37" s="156"/>
      <c r="K37" s="156"/>
      <c r="L37" s="15"/>
      <c r="M37" s="15"/>
      <c r="N37" s="15"/>
      <c r="O37" s="15"/>
      <c r="P37" s="161"/>
      <c r="Q37" s="161"/>
      <c r="R37" s="161"/>
      <c r="S37" s="161"/>
      <c r="T37" s="161"/>
      <c r="AA37" s="216"/>
      <c r="AB37" s="216"/>
      <c r="AC37" s="216"/>
      <c r="AD37" s="216"/>
      <c r="AE37" s="216"/>
    </row>
    <row r="38" spans="1:31" x14ac:dyDescent="0.25">
      <c r="A38" s="91"/>
      <c r="B38" s="143"/>
      <c r="C38" s="156"/>
      <c r="D38" s="547"/>
      <c r="E38" s="92"/>
      <c r="F38" s="124"/>
      <c r="K38" s="156"/>
      <c r="P38" s="161"/>
      <c r="AA38" s="216"/>
      <c r="AB38" s="216"/>
      <c r="AC38" s="216"/>
      <c r="AD38" s="216"/>
      <c r="AE38" s="216"/>
    </row>
    <row r="39" spans="1:31" x14ac:dyDescent="0.25">
      <c r="A39" s="15"/>
      <c r="B39" s="15"/>
      <c r="C39" s="15"/>
      <c r="D39" s="15"/>
      <c r="E39" s="108"/>
      <c r="F39" s="15"/>
      <c r="K39" s="15"/>
      <c r="P39" s="15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</row>
    <row r="40" spans="1:31" x14ac:dyDescent="0.25">
      <c r="A40" s="216"/>
      <c r="B40" s="216"/>
      <c r="C40" s="216"/>
      <c r="D40" s="216"/>
      <c r="E40" s="216"/>
      <c r="F40" s="216"/>
      <c r="K40" s="216"/>
      <c r="P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</row>
    <row r="41" spans="1:31" x14ac:dyDescent="0.25">
      <c r="A41" s="216"/>
      <c r="B41" s="216"/>
      <c r="C41" s="216"/>
      <c r="D41" s="216"/>
      <c r="E41" s="216"/>
      <c r="F41" s="216"/>
      <c r="K41" s="216"/>
      <c r="P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</row>
    <row r="42" spans="1:31" x14ac:dyDescent="0.25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P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</row>
    <row r="43" spans="1:31" x14ac:dyDescent="0.25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P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</row>
    <row r="44" spans="1:31" x14ac:dyDescent="0.2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U44" s="573"/>
      <c r="V44" s="572"/>
      <c r="W44" s="216"/>
      <c r="X44" s="216"/>
      <c r="Y44" s="216"/>
      <c r="Z44" s="216"/>
      <c r="AA44" s="216"/>
      <c r="AB44" s="216"/>
      <c r="AC44" s="216"/>
      <c r="AD44" s="216"/>
      <c r="AE44" s="216"/>
    </row>
    <row r="45" spans="1:31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P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</row>
    <row r="46" spans="1:31" x14ac:dyDescent="0.2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P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</row>
    <row r="47" spans="1:31" x14ac:dyDescent="0.2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P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</row>
    <row r="48" spans="1:31" x14ac:dyDescent="0.25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P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</row>
    <row r="49" spans="1:31" x14ac:dyDescent="0.25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P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</row>
    <row r="50" spans="1:31" x14ac:dyDescent="0.25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P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</row>
    <row r="51" spans="1:31" x14ac:dyDescent="0.25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P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</row>
    <row r="52" spans="1:31" x14ac:dyDescent="0.25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P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</row>
    <row r="53" spans="1:31" x14ac:dyDescent="0.25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P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</row>
    <row r="54" spans="1:31" x14ac:dyDescent="0.25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</row>
    <row r="55" spans="1:31" x14ac:dyDescent="0.25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</row>
    <row r="56" spans="1:31" x14ac:dyDescent="0.25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</row>
    <row r="57" spans="1:31" x14ac:dyDescent="0.25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</row>
    <row r="58" spans="1:31" x14ac:dyDescent="0.2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</row>
    <row r="59" spans="1:3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</row>
    <row r="60" spans="1:31" x14ac:dyDescent="0.25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</row>
    <row r="61" spans="1:31" x14ac:dyDescent="0.2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</row>
    <row r="62" spans="1:31" x14ac:dyDescent="0.25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</row>
    <row r="63" spans="1:31" x14ac:dyDescent="0.25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</row>
    <row r="64" spans="1:31" x14ac:dyDescent="0.25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</row>
    <row r="65" spans="1:31" x14ac:dyDescent="0.25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</row>
    <row r="66" spans="1:31" x14ac:dyDescent="0.25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</row>
    <row r="67" spans="1:31" x14ac:dyDescent="0.25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</row>
    <row r="68" spans="1:31" x14ac:dyDescent="0.25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</row>
    <row r="69" spans="1:31" x14ac:dyDescent="0.25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</row>
    <row r="70" spans="1:31" x14ac:dyDescent="0.25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</row>
    <row r="71" spans="1:31" x14ac:dyDescent="0.25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</row>
    <row r="72" spans="1:31" x14ac:dyDescent="0.25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</row>
    <row r="73" spans="1:31" x14ac:dyDescent="0.25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</row>
    <row r="74" spans="1:31" x14ac:dyDescent="0.25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</row>
    <row r="75" spans="1:31" x14ac:dyDescent="0.25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</row>
    <row r="76" spans="1:31" x14ac:dyDescent="0.25">
      <c r="A76" s="216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</row>
    <row r="77" spans="1:31" x14ac:dyDescent="0.25">
      <c r="A77" s="216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</row>
    <row r="78" spans="1:31" x14ac:dyDescent="0.25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AA78" s="216"/>
      <c r="AB78" s="216"/>
      <c r="AC78" s="216"/>
      <c r="AD78" s="216"/>
      <c r="AE78" s="216"/>
    </row>
    <row r="79" spans="1:31" x14ac:dyDescent="0.25">
      <c r="A79" s="15"/>
      <c r="B79" s="15"/>
      <c r="C79" s="15"/>
      <c r="D79" s="15"/>
      <c r="AA79" s="216"/>
      <c r="AB79" s="216"/>
      <c r="AC79" s="216"/>
      <c r="AD79" s="216"/>
      <c r="AE79" s="216"/>
    </row>
    <row r="80" spans="1:31" x14ac:dyDescent="0.25">
      <c r="A80" s="15"/>
      <c r="B80" s="15"/>
      <c r="C80" s="15"/>
      <c r="D80" s="15"/>
      <c r="AA80" s="216"/>
      <c r="AB80" s="216"/>
      <c r="AC80" s="216"/>
      <c r="AD80" s="216"/>
      <c r="AE80" s="216"/>
    </row>
    <row r="81" spans="1:31" x14ac:dyDescent="0.25">
      <c r="A81" s="15"/>
      <c r="B81" s="15"/>
      <c r="C81" s="15"/>
      <c r="D81" s="15"/>
      <c r="AA81" s="216"/>
      <c r="AB81" s="216"/>
      <c r="AC81" s="216"/>
      <c r="AD81" s="216"/>
      <c r="AE81" s="216"/>
    </row>
    <row r="82" spans="1:31" x14ac:dyDescent="0.25">
      <c r="A82" s="15"/>
      <c r="B82" s="15"/>
      <c r="C82" s="15"/>
      <c r="D82" s="15"/>
      <c r="AA82" s="216"/>
      <c r="AB82" s="216"/>
      <c r="AC82" s="216"/>
      <c r="AD82" s="216"/>
      <c r="AE82" s="216"/>
    </row>
    <row r="83" spans="1:31" x14ac:dyDescent="0.25">
      <c r="A83" s="15"/>
      <c r="B83" s="15"/>
      <c r="C83" s="15"/>
      <c r="D83" s="15"/>
      <c r="AA83" s="216"/>
      <c r="AB83" s="216"/>
      <c r="AC83" s="216"/>
      <c r="AD83" s="216"/>
      <c r="AE83" s="216"/>
    </row>
    <row r="84" spans="1:31" x14ac:dyDescent="0.25">
      <c r="A84" s="15"/>
      <c r="B84" s="15"/>
      <c r="C84" s="15"/>
      <c r="D84" s="15"/>
      <c r="AA84" s="216"/>
      <c r="AB84" s="216"/>
      <c r="AC84" s="216"/>
      <c r="AD84" s="216"/>
      <c r="AE84" s="216"/>
    </row>
    <row r="85" spans="1:31" x14ac:dyDescent="0.25">
      <c r="A85" s="15"/>
      <c r="B85" s="15"/>
      <c r="C85" s="15"/>
      <c r="D85" s="15"/>
      <c r="AA85" s="216"/>
      <c r="AB85" s="216"/>
      <c r="AC85" s="216"/>
      <c r="AD85" s="216"/>
      <c r="AE85" s="216"/>
    </row>
    <row r="86" spans="1:31" x14ac:dyDescent="0.25">
      <c r="A86" s="15"/>
      <c r="B86" s="15"/>
      <c r="C86" s="15"/>
      <c r="D86" s="15"/>
      <c r="AA86" s="216"/>
      <c r="AB86" s="216"/>
      <c r="AC86" s="216"/>
      <c r="AD86" s="216"/>
      <c r="AE86" s="216"/>
    </row>
    <row r="87" spans="1:31" x14ac:dyDescent="0.25">
      <c r="A87" s="15"/>
      <c r="B87" s="15"/>
      <c r="C87" s="15"/>
      <c r="D87" s="15"/>
      <c r="AA87" s="216"/>
      <c r="AB87" s="216"/>
      <c r="AC87" s="216"/>
      <c r="AD87" s="216"/>
      <c r="AE87" s="216"/>
    </row>
    <row r="88" spans="1:31" x14ac:dyDescent="0.25">
      <c r="A88" s="15"/>
      <c r="B88" s="15"/>
      <c r="C88" s="15"/>
      <c r="D88" s="15"/>
      <c r="AA88" s="216"/>
      <c r="AB88" s="216"/>
      <c r="AC88" s="216"/>
      <c r="AD88" s="216"/>
      <c r="AE88" s="216"/>
    </row>
    <row r="89" spans="1:31" x14ac:dyDescent="0.25">
      <c r="A89" s="15"/>
      <c r="B89" s="15"/>
      <c r="C89" s="15"/>
      <c r="D89" s="15"/>
      <c r="AA89" s="216"/>
      <c r="AB89" s="216"/>
      <c r="AC89" s="216"/>
      <c r="AD89" s="216"/>
      <c r="AE89" s="216"/>
    </row>
    <row r="90" spans="1:31" x14ac:dyDescent="0.25">
      <c r="A90" s="15"/>
      <c r="B90" s="15"/>
      <c r="C90" s="15"/>
      <c r="D90" s="15"/>
      <c r="AA90" s="216"/>
      <c r="AB90" s="216"/>
      <c r="AC90" s="216"/>
      <c r="AD90" s="216"/>
      <c r="AE90" s="216"/>
    </row>
    <row r="91" spans="1:31" x14ac:dyDescent="0.25">
      <c r="A91" s="15"/>
      <c r="B91" s="15"/>
      <c r="C91" s="15"/>
      <c r="D91" s="15"/>
      <c r="AA91" s="216"/>
      <c r="AB91" s="216"/>
      <c r="AC91" s="216"/>
      <c r="AD91" s="216"/>
      <c r="AE91" s="216"/>
    </row>
    <row r="92" spans="1:31" x14ac:dyDescent="0.25">
      <c r="A92" s="15"/>
      <c r="B92" s="15"/>
      <c r="C92" s="15"/>
      <c r="D92" s="15"/>
      <c r="AA92" s="216"/>
      <c r="AB92" s="216"/>
      <c r="AC92" s="216"/>
      <c r="AD92" s="216"/>
      <c r="AE92" s="216"/>
    </row>
    <row r="93" spans="1:31" x14ac:dyDescent="0.25">
      <c r="A93" s="15"/>
      <c r="B93" s="15"/>
      <c r="C93" s="15"/>
      <c r="D93" s="15"/>
      <c r="AA93" s="216"/>
      <c r="AB93" s="216"/>
      <c r="AC93" s="216"/>
      <c r="AD93" s="216"/>
      <c r="AE93" s="216"/>
    </row>
    <row r="94" spans="1:31" x14ac:dyDescent="0.25">
      <c r="A94" s="15"/>
      <c r="B94" s="15"/>
      <c r="C94" s="15"/>
      <c r="D94" s="15"/>
      <c r="AA94" s="216"/>
      <c r="AB94" s="216"/>
      <c r="AC94" s="216"/>
      <c r="AD94" s="216"/>
      <c r="AE94" s="216"/>
    </row>
    <row r="95" spans="1:31" x14ac:dyDescent="0.25">
      <c r="A95" s="15"/>
      <c r="B95" s="15"/>
      <c r="C95" s="15"/>
      <c r="D95" s="15"/>
      <c r="AA95" s="216"/>
      <c r="AB95" s="216"/>
      <c r="AC95" s="216"/>
      <c r="AD95" s="216"/>
      <c r="AE95" s="216"/>
    </row>
    <row r="96" spans="1:31" x14ac:dyDescent="0.25">
      <c r="A96" s="15"/>
      <c r="B96" s="15"/>
      <c r="C96" s="15"/>
      <c r="D96" s="15"/>
      <c r="AA96" s="216"/>
      <c r="AB96" s="216"/>
      <c r="AC96" s="216"/>
      <c r="AD96" s="216"/>
      <c r="AE96" s="216"/>
    </row>
    <row r="97" spans="1:31" x14ac:dyDescent="0.25">
      <c r="A97" s="15"/>
      <c r="B97" s="15"/>
      <c r="C97" s="15"/>
      <c r="D97" s="15"/>
      <c r="AA97" s="216"/>
      <c r="AB97" s="216"/>
      <c r="AC97" s="216"/>
      <c r="AD97" s="216"/>
      <c r="AE97" s="216"/>
    </row>
    <row r="98" spans="1:31" x14ac:dyDescent="0.25">
      <c r="A98" s="15"/>
      <c r="B98" s="15"/>
      <c r="C98" s="15"/>
      <c r="D98" s="15"/>
      <c r="AA98" s="216"/>
      <c r="AB98" s="216"/>
      <c r="AC98" s="216"/>
      <c r="AD98" s="216"/>
      <c r="AE98" s="216"/>
    </row>
    <row r="99" spans="1:31" x14ac:dyDescent="0.25">
      <c r="A99" s="15"/>
      <c r="B99" s="15"/>
      <c r="C99" s="15"/>
      <c r="D99" s="15"/>
      <c r="AA99" s="216"/>
      <c r="AB99" s="216"/>
      <c r="AC99" s="216"/>
      <c r="AD99" s="216"/>
      <c r="AE99" s="216"/>
    </row>
    <row r="100" spans="1:31" x14ac:dyDescent="0.25">
      <c r="A100" s="15"/>
      <c r="B100" s="15"/>
      <c r="C100" s="15"/>
      <c r="D100" s="15"/>
      <c r="AA100" s="216"/>
      <c r="AB100" s="216"/>
      <c r="AC100" s="216"/>
      <c r="AD100" s="216"/>
      <c r="AE100" s="216"/>
    </row>
    <row r="101" spans="1:31" x14ac:dyDescent="0.25">
      <c r="A101" s="15"/>
      <c r="B101" s="15"/>
      <c r="C101" s="15"/>
      <c r="D101" s="15"/>
      <c r="AA101" s="216"/>
      <c r="AB101" s="216"/>
      <c r="AC101" s="216"/>
      <c r="AD101" s="216"/>
      <c r="AE101" s="216"/>
    </row>
    <row r="102" spans="1:31" x14ac:dyDescent="0.25">
      <c r="A102" s="15"/>
      <c r="B102" s="15"/>
      <c r="C102" s="15"/>
      <c r="D102" s="15"/>
      <c r="AA102" s="216"/>
      <c r="AB102" s="216"/>
      <c r="AC102" s="216"/>
      <c r="AD102" s="216"/>
      <c r="AE102" s="216"/>
    </row>
    <row r="103" spans="1:31" x14ac:dyDescent="0.25">
      <c r="A103" s="15"/>
      <c r="B103" s="15"/>
      <c r="C103" s="15"/>
      <c r="D103" s="15"/>
      <c r="AA103" s="216"/>
      <c r="AB103" s="216"/>
      <c r="AC103" s="216"/>
      <c r="AD103" s="216"/>
      <c r="AE103" s="216"/>
    </row>
    <row r="104" spans="1:31" x14ac:dyDescent="0.25">
      <c r="A104" s="15"/>
      <c r="B104" s="15"/>
      <c r="C104" s="15"/>
      <c r="D104" s="15"/>
      <c r="AA104" s="216"/>
      <c r="AB104" s="216"/>
      <c r="AC104" s="216"/>
      <c r="AD104" s="216"/>
      <c r="AE104" s="216"/>
    </row>
    <row r="105" spans="1:31" x14ac:dyDescent="0.25">
      <c r="A105" s="15"/>
      <c r="B105" s="15"/>
      <c r="C105" s="15"/>
      <c r="D105" s="15"/>
      <c r="AA105" s="216"/>
      <c r="AB105" s="216"/>
      <c r="AC105" s="216"/>
      <c r="AD105" s="216"/>
      <c r="AE105" s="216"/>
    </row>
    <row r="106" spans="1:31" x14ac:dyDescent="0.25">
      <c r="A106" s="15"/>
      <c r="B106" s="15"/>
      <c r="C106" s="15"/>
      <c r="D106" s="15"/>
      <c r="AA106" s="216"/>
      <c r="AB106" s="216"/>
      <c r="AC106" s="216"/>
      <c r="AD106" s="216"/>
      <c r="AE106" s="216"/>
    </row>
    <row r="107" spans="1:31" x14ac:dyDescent="0.25">
      <c r="A107" s="15"/>
      <c r="B107" s="15"/>
      <c r="C107" s="15"/>
      <c r="D107" s="15"/>
      <c r="AA107" s="216"/>
      <c r="AB107" s="216"/>
      <c r="AC107" s="216"/>
      <c r="AD107" s="216"/>
      <c r="AE107" s="216"/>
    </row>
    <row r="108" spans="1:31" x14ac:dyDescent="0.25">
      <c r="A108" s="15"/>
      <c r="B108" s="15"/>
      <c r="C108" s="15"/>
      <c r="D108" s="15"/>
      <c r="AA108" s="216"/>
      <c r="AB108" s="216"/>
      <c r="AC108" s="216"/>
      <c r="AD108" s="216"/>
      <c r="AE108" s="216"/>
    </row>
    <row r="109" spans="1:31" x14ac:dyDescent="0.25">
      <c r="A109" s="15"/>
      <c r="B109" s="15"/>
      <c r="C109" s="15"/>
      <c r="D109" s="15"/>
      <c r="AA109" s="216"/>
      <c r="AB109" s="216"/>
      <c r="AC109" s="216"/>
      <c r="AD109" s="216"/>
      <c r="AE109" s="216"/>
    </row>
    <row r="110" spans="1:31" x14ac:dyDescent="0.25">
      <c r="A110" s="15"/>
      <c r="B110" s="15"/>
      <c r="C110" s="15"/>
      <c r="D110" s="15"/>
      <c r="AA110" s="216"/>
      <c r="AB110" s="216"/>
      <c r="AC110" s="216"/>
      <c r="AD110" s="216"/>
      <c r="AE110" s="216"/>
    </row>
    <row r="111" spans="1:31" x14ac:dyDescent="0.25">
      <c r="A111" s="15"/>
      <c r="B111" s="15"/>
      <c r="C111" s="15"/>
      <c r="D111" s="15"/>
      <c r="AA111" s="216"/>
      <c r="AB111" s="216"/>
      <c r="AC111" s="216"/>
      <c r="AD111" s="216"/>
      <c r="AE111" s="216"/>
    </row>
    <row r="112" spans="1:31" x14ac:dyDescent="0.25">
      <c r="A112" s="15"/>
      <c r="B112" s="15"/>
      <c r="C112" s="15"/>
      <c r="D112" s="15"/>
      <c r="AA112" s="216"/>
      <c r="AB112" s="216"/>
      <c r="AC112" s="216"/>
      <c r="AD112" s="216"/>
      <c r="AE112" s="216"/>
    </row>
    <row r="113" spans="1:31" x14ac:dyDescent="0.25">
      <c r="A113" s="15"/>
      <c r="B113" s="15"/>
      <c r="C113" s="15"/>
      <c r="D113" s="15"/>
      <c r="AA113" s="216"/>
      <c r="AB113" s="216"/>
      <c r="AC113" s="216"/>
      <c r="AD113" s="216"/>
      <c r="AE113" s="216"/>
    </row>
    <row r="114" spans="1:31" x14ac:dyDescent="0.25">
      <c r="A114" s="15"/>
      <c r="B114" s="15"/>
      <c r="C114" s="15"/>
      <c r="D114" s="15"/>
      <c r="AA114" s="216"/>
      <c r="AB114" s="216"/>
      <c r="AC114" s="216"/>
      <c r="AD114" s="216"/>
      <c r="AE114" s="216"/>
    </row>
    <row r="115" spans="1:31" x14ac:dyDescent="0.25">
      <c r="A115" s="15"/>
      <c r="B115" s="15"/>
      <c r="C115" s="15"/>
      <c r="D115" s="15"/>
      <c r="AA115" s="216"/>
      <c r="AB115" s="216"/>
      <c r="AC115" s="216"/>
      <c r="AD115" s="216"/>
      <c r="AE115" s="216"/>
    </row>
    <row r="116" spans="1:31" x14ac:dyDescent="0.25">
      <c r="A116" s="15"/>
      <c r="B116" s="15"/>
      <c r="C116" s="15"/>
      <c r="D116" s="15"/>
      <c r="AA116" s="216"/>
      <c r="AB116" s="216"/>
      <c r="AC116" s="216"/>
      <c r="AD116" s="216"/>
      <c r="AE116" s="216"/>
    </row>
    <row r="117" spans="1:31" x14ac:dyDescent="0.25">
      <c r="A117" s="15"/>
      <c r="B117" s="15"/>
      <c r="C117" s="15"/>
      <c r="D117" s="15"/>
      <c r="AA117" s="216"/>
      <c r="AB117" s="216"/>
      <c r="AC117" s="216"/>
      <c r="AD117" s="216"/>
      <c r="AE117" s="216"/>
    </row>
    <row r="118" spans="1:31" x14ac:dyDescent="0.25">
      <c r="A118" s="15"/>
      <c r="B118" s="15"/>
      <c r="C118" s="15"/>
      <c r="D118" s="15"/>
      <c r="AA118" s="216"/>
      <c r="AB118" s="216"/>
      <c r="AC118" s="216"/>
      <c r="AD118" s="216"/>
      <c r="AE118" s="216"/>
    </row>
    <row r="119" spans="1:31" x14ac:dyDescent="0.25">
      <c r="A119" s="15"/>
      <c r="B119" s="15"/>
      <c r="C119" s="15"/>
      <c r="D119" s="15"/>
      <c r="AA119" s="216"/>
      <c r="AB119" s="216"/>
      <c r="AC119" s="216"/>
      <c r="AD119" s="216"/>
      <c r="AE119" s="216"/>
    </row>
    <row r="120" spans="1:31" x14ac:dyDescent="0.25">
      <c r="A120" s="15"/>
      <c r="B120" s="15"/>
      <c r="C120" s="15"/>
      <c r="D120" s="15"/>
      <c r="AA120" s="216"/>
      <c r="AB120" s="216"/>
      <c r="AC120" s="216"/>
      <c r="AD120" s="216"/>
      <c r="AE120" s="216"/>
    </row>
    <row r="121" spans="1:31" x14ac:dyDescent="0.25">
      <c r="A121" s="15"/>
      <c r="B121" s="15"/>
      <c r="C121" s="15"/>
      <c r="D121" s="15"/>
      <c r="AA121" s="216"/>
      <c r="AB121" s="216"/>
      <c r="AC121" s="216"/>
      <c r="AD121" s="216"/>
      <c r="AE121" s="216"/>
    </row>
    <row r="122" spans="1:31" x14ac:dyDescent="0.25">
      <c r="A122" s="15"/>
      <c r="B122" s="15"/>
      <c r="C122" s="15"/>
      <c r="D122" s="15"/>
      <c r="AA122" s="216"/>
      <c r="AB122" s="216"/>
      <c r="AC122" s="216"/>
      <c r="AD122" s="216"/>
      <c r="AE122" s="216"/>
    </row>
    <row r="123" spans="1:31" x14ac:dyDescent="0.25">
      <c r="A123" s="15"/>
      <c r="B123" s="15"/>
      <c r="C123" s="15"/>
      <c r="D123" s="15"/>
      <c r="AA123" s="216"/>
      <c r="AB123" s="216"/>
      <c r="AC123" s="216"/>
      <c r="AD123" s="216"/>
      <c r="AE123" s="216"/>
    </row>
    <row r="124" spans="1:31" x14ac:dyDescent="0.25">
      <c r="A124" s="15"/>
      <c r="B124" s="15"/>
      <c r="C124" s="15"/>
      <c r="D124" s="15"/>
      <c r="AA124" s="216"/>
      <c r="AB124" s="216"/>
      <c r="AC124" s="216"/>
      <c r="AD124" s="216"/>
      <c r="AE124" s="216"/>
    </row>
    <row r="125" spans="1:31" x14ac:dyDescent="0.25">
      <c r="A125" s="15"/>
      <c r="B125" s="15"/>
      <c r="C125" s="15"/>
      <c r="D125" s="15"/>
      <c r="AA125" s="216"/>
      <c r="AB125" s="216"/>
      <c r="AC125" s="216"/>
      <c r="AD125" s="216"/>
      <c r="AE125" s="216"/>
    </row>
    <row r="126" spans="1:31" x14ac:dyDescent="0.25">
      <c r="A126" s="15"/>
      <c r="B126" s="15"/>
      <c r="C126" s="15"/>
      <c r="D126" s="15"/>
      <c r="AA126" s="216"/>
      <c r="AB126" s="216"/>
      <c r="AC126" s="216"/>
      <c r="AD126" s="216"/>
      <c r="AE126" s="216"/>
    </row>
    <row r="127" spans="1:31" x14ac:dyDescent="0.25">
      <c r="A127" s="15"/>
      <c r="B127" s="15"/>
      <c r="C127" s="15"/>
      <c r="D127" s="15"/>
      <c r="AA127" s="216"/>
      <c r="AB127" s="216"/>
      <c r="AC127" s="216"/>
      <c r="AD127" s="216"/>
      <c r="AE127" s="216"/>
    </row>
    <row r="128" spans="1:31" x14ac:dyDescent="0.25">
      <c r="A128" s="15"/>
      <c r="B128" s="15"/>
      <c r="C128" s="15"/>
      <c r="D128" s="15"/>
      <c r="AA128" s="216"/>
      <c r="AB128" s="216"/>
      <c r="AC128" s="216"/>
      <c r="AD128" s="216"/>
      <c r="AE128" s="216"/>
    </row>
    <row r="129" spans="1:31" x14ac:dyDescent="0.25">
      <c r="A129" s="15"/>
      <c r="B129" s="15"/>
      <c r="C129" s="15"/>
      <c r="D129" s="15"/>
      <c r="AA129" s="216"/>
      <c r="AB129" s="216"/>
      <c r="AC129" s="216"/>
      <c r="AD129" s="216"/>
      <c r="AE129" s="216"/>
    </row>
    <row r="130" spans="1:31" x14ac:dyDescent="0.25">
      <c r="A130" s="15"/>
      <c r="B130" s="15"/>
      <c r="C130" s="15"/>
      <c r="D130" s="15"/>
      <c r="AA130" s="216"/>
      <c r="AB130" s="216"/>
      <c r="AC130" s="216"/>
      <c r="AD130" s="216"/>
      <c r="AE130" s="216"/>
    </row>
    <row r="131" spans="1:31" x14ac:dyDescent="0.25">
      <c r="A131" s="15"/>
      <c r="B131" s="15"/>
      <c r="C131" s="15"/>
      <c r="D131" s="15"/>
      <c r="AA131" s="216"/>
      <c r="AB131" s="216"/>
      <c r="AC131" s="216"/>
      <c r="AD131" s="216"/>
      <c r="AE131" s="216"/>
    </row>
    <row r="132" spans="1:31" x14ac:dyDescent="0.25">
      <c r="A132" s="15"/>
      <c r="B132" s="15"/>
      <c r="C132" s="15"/>
      <c r="D132" s="15"/>
      <c r="AA132" s="216"/>
      <c r="AB132" s="216"/>
      <c r="AC132" s="216"/>
      <c r="AD132" s="216"/>
      <c r="AE132" s="216"/>
    </row>
    <row r="133" spans="1:31" x14ac:dyDescent="0.25">
      <c r="A133" s="15"/>
      <c r="B133" s="15"/>
      <c r="C133" s="15"/>
      <c r="D133" s="15"/>
      <c r="AA133" s="216"/>
      <c r="AB133" s="216"/>
      <c r="AC133" s="216"/>
      <c r="AD133" s="216"/>
      <c r="AE133" s="216"/>
    </row>
    <row r="134" spans="1:31" x14ac:dyDescent="0.25">
      <c r="A134" s="15"/>
      <c r="B134" s="15"/>
      <c r="C134" s="15"/>
      <c r="D134" s="15"/>
      <c r="AA134" s="216"/>
      <c r="AB134" s="216"/>
      <c r="AC134" s="216"/>
      <c r="AD134" s="216"/>
      <c r="AE134" s="216"/>
    </row>
    <row r="135" spans="1:31" x14ac:dyDescent="0.25">
      <c r="A135" s="15"/>
      <c r="B135" s="15"/>
      <c r="C135" s="15"/>
      <c r="D135" s="15"/>
      <c r="AA135" s="216"/>
      <c r="AB135" s="216"/>
      <c r="AC135" s="216"/>
      <c r="AD135" s="216"/>
      <c r="AE135" s="216"/>
    </row>
    <row r="136" spans="1:31" x14ac:dyDescent="0.25">
      <c r="A136" s="15"/>
      <c r="B136" s="15"/>
      <c r="C136" s="15"/>
      <c r="D136" s="15"/>
      <c r="AA136" s="216"/>
      <c r="AB136" s="216"/>
      <c r="AC136" s="216"/>
      <c r="AD136" s="216"/>
      <c r="AE136" s="216"/>
    </row>
    <row r="137" spans="1:31" x14ac:dyDescent="0.25">
      <c r="A137" s="15"/>
      <c r="B137" s="15"/>
      <c r="C137" s="15"/>
      <c r="D137" s="15"/>
      <c r="AA137" s="216"/>
      <c r="AB137" s="216"/>
      <c r="AC137" s="216"/>
      <c r="AD137" s="216"/>
      <c r="AE137" s="216"/>
    </row>
    <row r="138" spans="1:31" x14ac:dyDescent="0.25">
      <c r="A138" s="15"/>
      <c r="B138" s="15"/>
      <c r="C138" s="15"/>
      <c r="D138" s="15"/>
      <c r="AA138" s="216"/>
      <c r="AB138" s="216"/>
      <c r="AC138" s="216"/>
      <c r="AD138" s="216"/>
      <c r="AE138" s="216"/>
    </row>
    <row r="139" spans="1:31" x14ac:dyDescent="0.25">
      <c r="A139" s="15"/>
      <c r="B139" s="15"/>
      <c r="C139" s="15"/>
      <c r="D139" s="15"/>
      <c r="AA139" s="216"/>
      <c r="AB139" s="216"/>
      <c r="AC139" s="216"/>
      <c r="AD139" s="216"/>
      <c r="AE139" s="216"/>
    </row>
    <row r="140" spans="1:31" x14ac:dyDescent="0.25">
      <c r="A140" s="15"/>
      <c r="B140" s="15"/>
      <c r="C140" s="15"/>
      <c r="D140" s="15"/>
      <c r="AA140" s="216"/>
      <c r="AB140" s="216"/>
      <c r="AC140" s="216"/>
      <c r="AD140" s="216"/>
      <c r="AE140" s="216"/>
    </row>
    <row r="141" spans="1:31" x14ac:dyDescent="0.25">
      <c r="A141" s="15"/>
      <c r="B141" s="15"/>
      <c r="C141" s="15"/>
      <c r="D141" s="15"/>
      <c r="AA141" s="216"/>
      <c r="AB141" s="216"/>
      <c r="AC141" s="216"/>
      <c r="AD141" s="216"/>
      <c r="AE141" s="216"/>
    </row>
    <row r="142" spans="1:31" x14ac:dyDescent="0.25">
      <c r="A142" s="15"/>
      <c r="B142" s="15"/>
      <c r="C142" s="15"/>
      <c r="D142" s="15"/>
      <c r="AA142" s="216"/>
      <c r="AB142" s="216"/>
      <c r="AC142" s="216"/>
      <c r="AD142" s="216"/>
      <c r="AE142" s="216"/>
    </row>
    <row r="143" spans="1:31" x14ac:dyDescent="0.25">
      <c r="A143" s="15"/>
      <c r="B143" s="15"/>
      <c r="C143" s="15"/>
      <c r="D143" s="15"/>
      <c r="AA143" s="216"/>
      <c r="AB143" s="216"/>
      <c r="AC143" s="216"/>
      <c r="AD143" s="216"/>
      <c r="AE143" s="216"/>
    </row>
    <row r="144" spans="1:31" x14ac:dyDescent="0.25">
      <c r="A144" s="15"/>
      <c r="B144" s="15"/>
      <c r="C144" s="15"/>
      <c r="D144" s="15"/>
      <c r="AA144" s="216"/>
      <c r="AB144" s="216"/>
      <c r="AC144" s="216"/>
      <c r="AD144" s="216"/>
      <c r="AE144" s="216"/>
    </row>
    <row r="145" spans="1:31" x14ac:dyDescent="0.25">
      <c r="A145" s="15"/>
      <c r="B145" s="15"/>
      <c r="C145" s="15"/>
      <c r="D145" s="15"/>
      <c r="AA145" s="216"/>
      <c r="AB145" s="216"/>
      <c r="AC145" s="216"/>
      <c r="AD145" s="216"/>
      <c r="AE145" s="216"/>
    </row>
    <row r="146" spans="1:31" x14ac:dyDescent="0.25">
      <c r="A146" s="15"/>
      <c r="B146" s="15"/>
      <c r="C146" s="15"/>
      <c r="D146" s="15"/>
      <c r="AA146" s="216"/>
      <c r="AB146" s="216"/>
      <c r="AC146" s="216"/>
      <c r="AD146" s="216"/>
      <c r="AE146" s="216"/>
    </row>
    <row r="147" spans="1:31" x14ac:dyDescent="0.25">
      <c r="A147" s="15"/>
      <c r="B147" s="15"/>
      <c r="C147" s="15"/>
      <c r="D147" s="15"/>
      <c r="AA147" s="216"/>
      <c r="AB147" s="216"/>
      <c r="AC147" s="216"/>
      <c r="AD147" s="216"/>
      <c r="AE147" s="216"/>
    </row>
    <row r="148" spans="1:31" x14ac:dyDescent="0.25">
      <c r="A148" s="15"/>
      <c r="B148" s="15"/>
      <c r="C148" s="15"/>
      <c r="D148" s="15"/>
      <c r="AA148" s="216"/>
      <c r="AB148" s="216"/>
      <c r="AC148" s="216"/>
      <c r="AD148" s="216"/>
      <c r="AE148" s="216"/>
    </row>
    <row r="149" spans="1:31" x14ac:dyDescent="0.25">
      <c r="A149" s="15"/>
      <c r="B149" s="15"/>
      <c r="C149" s="15"/>
      <c r="D149" s="15"/>
      <c r="AA149" s="216"/>
      <c r="AB149" s="216"/>
      <c r="AC149" s="216"/>
      <c r="AD149" s="216"/>
      <c r="AE149" s="216"/>
    </row>
    <row r="150" spans="1:31" x14ac:dyDescent="0.25">
      <c r="A150" s="15"/>
      <c r="B150" s="15"/>
      <c r="C150" s="15"/>
      <c r="D150" s="15"/>
      <c r="AA150" s="216"/>
      <c r="AB150" s="216"/>
      <c r="AC150" s="216"/>
      <c r="AD150" s="216"/>
      <c r="AE150" s="216"/>
    </row>
    <row r="151" spans="1:31" x14ac:dyDescent="0.25">
      <c r="A151" s="15"/>
      <c r="B151" s="15"/>
      <c r="C151" s="15"/>
      <c r="D151" s="15"/>
      <c r="AA151" s="216"/>
      <c r="AB151" s="216"/>
      <c r="AC151" s="216"/>
      <c r="AD151" s="216"/>
      <c r="AE151" s="216"/>
    </row>
    <row r="152" spans="1:31" x14ac:dyDescent="0.25">
      <c r="A152" s="15"/>
      <c r="B152" s="15"/>
      <c r="C152" s="15"/>
      <c r="D152" s="15"/>
      <c r="AA152" s="216"/>
      <c r="AB152" s="216"/>
      <c r="AC152" s="216"/>
      <c r="AD152" s="216"/>
      <c r="AE152" s="216"/>
    </row>
    <row r="153" spans="1:31" x14ac:dyDescent="0.25">
      <c r="A153" s="15"/>
      <c r="B153" s="15"/>
      <c r="C153" s="15"/>
      <c r="D153" s="15"/>
      <c r="AA153" s="216"/>
      <c r="AB153" s="216"/>
      <c r="AC153" s="216"/>
      <c r="AD153" s="216"/>
      <c r="AE153" s="216"/>
    </row>
    <row r="154" spans="1:31" x14ac:dyDescent="0.25">
      <c r="A154" s="15"/>
      <c r="B154" s="15"/>
      <c r="C154" s="15"/>
      <c r="D154" s="15"/>
      <c r="AA154" s="216"/>
      <c r="AB154" s="216"/>
      <c r="AC154" s="216"/>
      <c r="AD154" s="216"/>
      <c r="AE154" s="216"/>
    </row>
    <row r="155" spans="1:31" x14ac:dyDescent="0.25">
      <c r="A155" s="15"/>
      <c r="B155" s="15"/>
      <c r="C155" s="15"/>
      <c r="D155" s="15"/>
      <c r="AA155" s="216"/>
      <c r="AB155" s="216"/>
      <c r="AC155" s="216"/>
      <c r="AD155" s="216"/>
      <c r="AE155" s="216"/>
    </row>
    <row r="156" spans="1:31" x14ac:dyDescent="0.25">
      <c r="A156" s="15"/>
      <c r="B156" s="15"/>
      <c r="C156" s="15"/>
      <c r="D156" s="15"/>
      <c r="AA156" s="216"/>
      <c r="AB156" s="216"/>
      <c r="AC156" s="216"/>
      <c r="AD156" s="216"/>
      <c r="AE156" s="216"/>
    </row>
    <row r="157" spans="1:31" x14ac:dyDescent="0.25">
      <c r="A157" s="15"/>
      <c r="B157" s="15"/>
      <c r="C157" s="15"/>
      <c r="D157" s="15"/>
      <c r="AA157" s="216"/>
      <c r="AB157" s="216"/>
      <c r="AC157" s="216"/>
      <c r="AD157" s="216"/>
      <c r="AE157" s="216"/>
    </row>
    <row r="158" spans="1:31" x14ac:dyDescent="0.25">
      <c r="A158" s="15"/>
      <c r="B158" s="15"/>
      <c r="C158" s="15"/>
      <c r="D158" s="15"/>
      <c r="AA158" s="216"/>
      <c r="AB158" s="216"/>
      <c r="AC158" s="216"/>
      <c r="AD158" s="216"/>
      <c r="AE158" s="216"/>
    </row>
    <row r="159" spans="1:31" x14ac:dyDescent="0.25">
      <c r="A159" s="15"/>
      <c r="B159" s="15"/>
      <c r="C159" s="15"/>
      <c r="D159" s="15"/>
      <c r="AA159" s="216"/>
      <c r="AB159" s="216"/>
      <c r="AC159" s="216"/>
      <c r="AD159" s="216"/>
      <c r="AE159" s="216"/>
    </row>
    <row r="160" spans="1:31" x14ac:dyDescent="0.25">
      <c r="A160" s="15"/>
      <c r="B160" s="15"/>
      <c r="C160" s="15"/>
      <c r="D160" s="15"/>
      <c r="AA160" s="216"/>
      <c r="AB160" s="216"/>
      <c r="AC160" s="216"/>
      <c r="AD160" s="216"/>
      <c r="AE160" s="216"/>
    </row>
    <row r="161" spans="1:31" x14ac:dyDescent="0.25">
      <c r="A161" s="15"/>
      <c r="B161" s="15"/>
      <c r="C161" s="15"/>
      <c r="D161" s="15"/>
      <c r="AA161" s="216"/>
      <c r="AB161" s="216"/>
      <c r="AC161" s="216"/>
      <c r="AD161" s="216"/>
      <c r="AE161" s="216"/>
    </row>
    <row r="162" spans="1:31" x14ac:dyDescent="0.25">
      <c r="AA162" s="216"/>
      <c r="AB162" s="216"/>
      <c r="AC162" s="216"/>
      <c r="AD162" s="216"/>
      <c r="AE162" s="216"/>
    </row>
    <row r="163" spans="1:31" x14ac:dyDescent="0.25">
      <c r="AA163" s="216"/>
      <c r="AB163" s="216"/>
      <c r="AC163" s="216"/>
      <c r="AD163" s="216"/>
      <c r="AE163" s="216"/>
    </row>
    <row r="164" spans="1:31" x14ac:dyDescent="0.25">
      <c r="AA164" s="216"/>
      <c r="AB164" s="216"/>
      <c r="AC164" s="216"/>
      <c r="AD164" s="216"/>
      <c r="AE164" s="216"/>
    </row>
    <row r="165" spans="1:31" x14ac:dyDescent="0.25">
      <c r="AA165" s="216"/>
      <c r="AB165" s="216"/>
      <c r="AC165" s="216"/>
      <c r="AD165" s="216"/>
      <c r="AE165" s="216"/>
    </row>
    <row r="166" spans="1:31" x14ac:dyDescent="0.25">
      <c r="AA166" s="216"/>
      <c r="AB166" s="216"/>
      <c r="AC166" s="216"/>
      <c r="AD166" s="216"/>
      <c r="AE166" s="216"/>
    </row>
    <row r="167" spans="1:31" x14ac:dyDescent="0.25">
      <c r="AA167" s="216"/>
      <c r="AB167" s="216"/>
      <c r="AC167" s="216"/>
      <c r="AD167" s="216"/>
      <c r="AE167" s="216"/>
    </row>
    <row r="168" spans="1:31" x14ac:dyDescent="0.25">
      <c r="AA168" s="216"/>
      <c r="AB168" s="216"/>
      <c r="AC168" s="216"/>
      <c r="AD168" s="216"/>
      <c r="AE168" s="216"/>
    </row>
    <row r="169" spans="1:31" x14ac:dyDescent="0.25">
      <c r="AA169" s="216"/>
      <c r="AB169" s="216"/>
      <c r="AC169" s="216"/>
      <c r="AD169" s="216"/>
      <c r="AE169" s="216"/>
    </row>
    <row r="170" spans="1:31" x14ac:dyDescent="0.25">
      <c r="AA170" s="216"/>
      <c r="AB170" s="216"/>
      <c r="AC170" s="216"/>
      <c r="AD170" s="216"/>
      <c r="AE170" s="216"/>
    </row>
    <row r="171" spans="1:31" x14ac:dyDescent="0.25">
      <c r="AA171" s="216"/>
      <c r="AB171" s="216"/>
      <c r="AC171" s="216"/>
      <c r="AD171" s="216"/>
      <c r="AE171" s="216"/>
    </row>
  </sheetData>
  <mergeCells count="41">
    <mergeCell ref="A3:D3"/>
    <mergeCell ref="F4:O4"/>
    <mergeCell ref="Q4:Z4"/>
    <mergeCell ref="F5:O5"/>
    <mergeCell ref="Q5:Z5"/>
    <mergeCell ref="F7:J7"/>
    <mergeCell ref="L7:O7"/>
    <mergeCell ref="Q7:U7"/>
    <mergeCell ref="W7:Z7"/>
    <mergeCell ref="F8:J8"/>
    <mergeCell ref="L8:O8"/>
    <mergeCell ref="Q8:U8"/>
    <mergeCell ref="W8:Z8"/>
    <mergeCell ref="W17:Z17"/>
    <mergeCell ref="F16:J16"/>
    <mergeCell ref="Q16:U16"/>
    <mergeCell ref="AD20:AH20"/>
    <mergeCell ref="G9:H9"/>
    <mergeCell ref="R9:S9"/>
    <mergeCell ref="L17:O17"/>
    <mergeCell ref="F27:J27"/>
    <mergeCell ref="Q28:U28"/>
    <mergeCell ref="F31:J31"/>
    <mergeCell ref="F32:J32"/>
    <mergeCell ref="F33:J33"/>
    <mergeCell ref="F34:J34"/>
    <mergeCell ref="A10:D10"/>
    <mergeCell ref="A28:D28"/>
    <mergeCell ref="A1:Z1"/>
    <mergeCell ref="F20:J20"/>
    <mergeCell ref="Q18:U18"/>
    <mergeCell ref="Q20:U20"/>
    <mergeCell ref="Q27:U27"/>
    <mergeCell ref="F28:J28"/>
    <mergeCell ref="A4:D4"/>
    <mergeCell ref="A22:D22"/>
    <mergeCell ref="A5:D5"/>
    <mergeCell ref="A23:D23"/>
    <mergeCell ref="F18:J18"/>
    <mergeCell ref="Q26:U26"/>
    <mergeCell ref="F26:J26"/>
  </mergeCells>
  <printOptions horizontalCentered="1" verticalCentered="1"/>
  <pageMargins left="0.2" right="0.14000000000000001" top="0.17" bottom="0.17" header="0.17" footer="0.17"/>
  <pageSetup scale="62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42"/>
  <sheetViews>
    <sheetView topLeftCell="A7" workbookViewId="0">
      <selection activeCell="S18" sqref="S18"/>
    </sheetView>
  </sheetViews>
  <sheetFormatPr defaultRowHeight="15" x14ac:dyDescent="0.25"/>
  <cols>
    <col min="1" max="1" width="7.7109375" customWidth="1"/>
    <col min="2" max="2" width="8.85546875" customWidth="1"/>
    <col min="3" max="3" width="10.5703125" customWidth="1"/>
    <col min="4" max="4" width="10.28515625" bestFit="1" customWidth="1"/>
    <col min="5" max="5" width="4.85546875" customWidth="1"/>
    <col min="6" max="7" width="8.7109375" customWidth="1"/>
    <col min="8" max="8" width="10.140625" customWidth="1"/>
    <col min="9" max="9" width="10" customWidth="1"/>
    <col min="10" max="10" width="15.28515625" customWidth="1"/>
    <col min="11" max="11" width="4.42578125" style="15" customWidth="1"/>
    <col min="12" max="12" width="9.28515625" customWidth="1"/>
    <col min="13" max="13" width="9.7109375" customWidth="1"/>
    <col min="14" max="14" width="11.28515625" customWidth="1"/>
    <col min="15" max="15" width="11.5703125" customWidth="1"/>
    <col min="16" max="16" width="12.85546875" customWidth="1"/>
  </cols>
  <sheetData>
    <row r="1" spans="1:25" ht="25.5" customHeight="1" x14ac:dyDescent="0.25">
      <c r="A1" s="885" t="s">
        <v>248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</row>
    <row r="2" spans="1:25" x14ac:dyDescent="0.25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</row>
    <row r="3" spans="1:25" ht="15.75" x14ac:dyDescent="0.25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</row>
    <row r="4" spans="1:25" ht="19.5" customHeight="1" x14ac:dyDescent="0.25">
      <c r="A4" s="882" t="s">
        <v>120</v>
      </c>
      <c r="B4" s="883"/>
      <c r="C4" s="883"/>
      <c r="D4" s="884"/>
      <c r="E4" s="650"/>
      <c r="F4" s="811" t="s">
        <v>241</v>
      </c>
      <c r="G4" s="812"/>
      <c r="H4" s="812"/>
      <c r="I4" s="812"/>
      <c r="J4" s="813"/>
      <c r="K4" s="480"/>
      <c r="L4" s="887" t="s">
        <v>243</v>
      </c>
      <c r="M4" s="888"/>
      <c r="N4" s="888"/>
      <c r="O4" s="888"/>
      <c r="P4" s="889"/>
      <c r="Q4" s="480"/>
      <c r="R4" s="480"/>
      <c r="S4" s="480"/>
      <c r="T4" s="480"/>
      <c r="U4" s="480"/>
      <c r="V4" s="480"/>
      <c r="W4" s="480"/>
      <c r="X4" s="480"/>
      <c r="Y4" s="480"/>
    </row>
    <row r="5" spans="1:25" ht="19.5" customHeight="1" x14ac:dyDescent="0.25">
      <c r="A5" s="798" t="s">
        <v>135</v>
      </c>
      <c r="B5" s="799"/>
      <c r="C5" s="799"/>
      <c r="D5" s="800"/>
      <c r="E5" s="480"/>
      <c r="F5" s="817" t="s">
        <v>242</v>
      </c>
      <c r="G5" s="818"/>
      <c r="H5" s="818"/>
      <c r="I5" s="818"/>
      <c r="J5" s="819"/>
      <c r="K5" s="510"/>
      <c r="L5" s="879" t="s">
        <v>247</v>
      </c>
      <c r="M5" s="880"/>
      <c r="N5" s="880"/>
      <c r="O5" s="880"/>
      <c r="P5" s="881"/>
      <c r="Q5" s="517"/>
      <c r="R5" s="517"/>
      <c r="S5" s="517"/>
      <c r="T5" s="517"/>
      <c r="U5" s="517"/>
      <c r="V5" s="517"/>
      <c r="W5" s="517"/>
      <c r="X5" s="517"/>
      <c r="Y5" s="517"/>
    </row>
    <row r="6" spans="1:25" ht="19.5" customHeight="1" x14ac:dyDescent="0.25">
      <c r="A6" s="798"/>
      <c r="B6" s="799"/>
      <c r="C6" s="799"/>
      <c r="D6" s="800"/>
      <c r="E6" s="480"/>
      <c r="F6" s="518"/>
      <c r="G6" s="518"/>
      <c r="H6" s="518"/>
      <c r="I6" s="518"/>
      <c r="J6" s="518"/>
      <c r="K6" s="510"/>
      <c r="P6" s="517"/>
      <c r="Q6" s="517"/>
      <c r="R6" s="517"/>
      <c r="S6" s="517"/>
      <c r="T6" s="517"/>
      <c r="U6" s="517"/>
      <c r="V6" s="517"/>
      <c r="W6" s="517"/>
      <c r="X6" s="517"/>
      <c r="Y6" s="517"/>
    </row>
    <row r="7" spans="1:25" ht="19.5" customHeight="1" thickBot="1" x14ac:dyDescent="0.3">
      <c r="A7" s="801"/>
      <c r="B7" s="802"/>
      <c r="C7" s="802"/>
      <c r="D7" s="803"/>
      <c r="E7" s="480"/>
      <c r="F7" s="518"/>
      <c r="G7" s="518"/>
      <c r="H7" s="518"/>
      <c r="I7" s="518"/>
      <c r="J7" s="518"/>
      <c r="K7" s="510"/>
      <c r="P7" s="517"/>
      <c r="Q7" s="517"/>
      <c r="R7" s="517"/>
      <c r="S7" s="517"/>
      <c r="T7" s="517"/>
      <c r="U7" s="517"/>
      <c r="V7" s="517"/>
      <c r="W7" s="517"/>
      <c r="X7" s="517"/>
      <c r="Y7" s="517"/>
    </row>
    <row r="8" spans="1:25" ht="15.75" thickBot="1" x14ac:dyDescent="0.3">
      <c r="A8" s="125"/>
      <c r="B8" s="125"/>
      <c r="C8" s="125"/>
      <c r="D8" s="125"/>
      <c r="E8" s="68"/>
    </row>
    <row r="9" spans="1:25" x14ac:dyDescent="0.25">
      <c r="A9" s="783" t="s">
        <v>200</v>
      </c>
      <c r="B9" s="784"/>
      <c r="C9" s="784"/>
      <c r="D9" s="785"/>
      <c r="E9" s="87"/>
      <c r="F9" s="804" t="s">
        <v>200</v>
      </c>
      <c r="G9" s="805"/>
      <c r="H9" s="805"/>
      <c r="I9" s="805"/>
      <c r="J9" s="806"/>
      <c r="K9" s="648"/>
      <c r="L9" s="874" t="s">
        <v>200</v>
      </c>
      <c r="M9" s="875"/>
      <c r="N9" s="875"/>
      <c r="O9" s="875"/>
      <c r="P9" s="876"/>
    </row>
    <row r="10" spans="1:25" x14ac:dyDescent="0.25">
      <c r="A10" s="877" t="s">
        <v>123</v>
      </c>
      <c r="B10" s="787"/>
      <c r="C10" s="787"/>
      <c r="D10" s="878"/>
      <c r="E10" s="87"/>
      <c r="F10" s="810"/>
      <c r="G10" s="752"/>
      <c r="H10" s="752"/>
      <c r="I10" s="752"/>
      <c r="J10" s="753"/>
      <c r="K10" s="648"/>
      <c r="L10" s="810"/>
      <c r="M10" s="752"/>
      <c r="N10" s="752"/>
      <c r="O10" s="752"/>
      <c r="P10" s="753"/>
    </row>
    <row r="11" spans="1:25" x14ac:dyDescent="0.25">
      <c r="A11" s="485"/>
      <c r="B11" s="61"/>
      <c r="C11" s="112" t="s">
        <v>0</v>
      </c>
      <c r="D11" s="486" t="s">
        <v>1</v>
      </c>
      <c r="E11" s="87"/>
      <c r="F11" s="481"/>
      <c r="G11" s="737" t="s">
        <v>201</v>
      </c>
      <c r="H11" s="738"/>
      <c r="I11" s="139"/>
      <c r="J11" s="482"/>
      <c r="K11" s="648"/>
      <c r="L11" s="481"/>
      <c r="M11" s="737" t="s">
        <v>201</v>
      </c>
      <c r="N11" s="738"/>
      <c r="O11" s="139"/>
      <c r="P11" s="482"/>
    </row>
    <row r="12" spans="1:25" x14ac:dyDescent="0.25">
      <c r="A12" s="485"/>
      <c r="B12" s="61"/>
      <c r="C12" s="178">
        <v>40360</v>
      </c>
      <c r="D12" s="511">
        <v>40360</v>
      </c>
      <c r="E12" s="87"/>
      <c r="F12" s="483"/>
      <c r="G12" s="167" t="s">
        <v>7</v>
      </c>
      <c r="H12" s="167" t="s">
        <v>6</v>
      </c>
      <c r="I12" s="167" t="s">
        <v>25</v>
      </c>
      <c r="J12" s="484" t="s">
        <v>26</v>
      </c>
      <c r="K12" s="175"/>
      <c r="L12" s="483"/>
      <c r="M12" s="167" t="s">
        <v>7</v>
      </c>
      <c r="N12" s="167" t="s">
        <v>6</v>
      </c>
      <c r="O12" s="167" t="s">
        <v>25</v>
      </c>
      <c r="P12" s="484" t="s">
        <v>26</v>
      </c>
    </row>
    <row r="13" spans="1:25" x14ac:dyDescent="0.25">
      <c r="A13" s="485"/>
      <c r="B13" s="61"/>
      <c r="C13" s="115"/>
      <c r="D13" s="512"/>
      <c r="E13" s="87"/>
      <c r="F13" s="485"/>
      <c r="G13" s="61"/>
      <c r="H13" s="61"/>
      <c r="I13" s="112"/>
      <c r="J13" s="486"/>
      <c r="K13" s="112"/>
      <c r="L13" s="485"/>
      <c r="M13" s="61"/>
      <c r="N13" s="61"/>
      <c r="O13" s="112"/>
      <c r="P13" s="486"/>
    </row>
    <row r="14" spans="1:25" x14ac:dyDescent="0.25">
      <c r="A14" s="485" t="s">
        <v>205</v>
      </c>
      <c r="B14" s="61"/>
      <c r="C14" s="546">
        <f>(663.98*12)/10</f>
        <v>796.77600000000007</v>
      </c>
      <c r="D14" s="539">
        <f>(349.6*12)/10</f>
        <v>419.5200000000001</v>
      </c>
      <c r="E14" s="87"/>
      <c r="F14" s="487" t="s">
        <v>3</v>
      </c>
      <c r="G14" s="546">
        <f>(I14/2)*6.6%</f>
        <v>67.481172000000001</v>
      </c>
      <c r="H14" s="547">
        <f>SUM(I14/2)-G14</f>
        <v>954.96082799999999</v>
      </c>
      <c r="I14" s="578">
        <f>SUM(J14/10)</f>
        <v>2044.884</v>
      </c>
      <c r="J14" s="548">
        <f>(1704.07*12)</f>
        <v>20448.84</v>
      </c>
      <c r="K14" s="114"/>
      <c r="L14" s="487" t="s">
        <v>3</v>
      </c>
      <c r="M14" s="566">
        <v>0</v>
      </c>
      <c r="N14" s="566">
        <f>SUM(P14/20)</f>
        <v>909.76800000000003</v>
      </c>
      <c r="O14" s="558">
        <f>SUM(P14/10)</f>
        <v>1819.5360000000001</v>
      </c>
      <c r="P14" s="548">
        <f>(1516.28*12)</f>
        <v>18195.36</v>
      </c>
      <c r="Q14" s="471"/>
    </row>
    <row r="15" spans="1:25" x14ac:dyDescent="0.25">
      <c r="A15" s="485" t="s">
        <v>5</v>
      </c>
      <c r="B15" s="61"/>
      <c r="C15" s="547">
        <f>C14/2</f>
        <v>398.38800000000003</v>
      </c>
      <c r="D15" s="539">
        <f>D14/2</f>
        <v>209.76000000000005</v>
      </c>
      <c r="E15" s="87"/>
      <c r="F15" s="485"/>
      <c r="G15" s="566"/>
      <c r="H15" s="566"/>
      <c r="I15" s="558"/>
      <c r="J15" s="548"/>
      <c r="K15" s="115"/>
      <c r="L15" s="485"/>
      <c r="M15" s="566"/>
      <c r="N15" s="566"/>
      <c r="O15" s="558"/>
      <c r="P15" s="548"/>
    </row>
    <row r="16" spans="1:25" x14ac:dyDescent="0.25">
      <c r="A16" s="485"/>
      <c r="B16" s="61"/>
      <c r="C16" s="117"/>
      <c r="D16" s="491"/>
      <c r="E16" s="87"/>
      <c r="F16" s="487" t="s">
        <v>2</v>
      </c>
      <c r="G16" s="546">
        <f>(I16/2)*6.6%</f>
        <v>29.762568000000005</v>
      </c>
      <c r="H16" s="547">
        <f>(I16/2)-G16</f>
        <v>421.18543200000005</v>
      </c>
      <c r="I16" s="578">
        <f>SUM(J16/10)</f>
        <v>901.89600000000007</v>
      </c>
      <c r="J16" s="539">
        <f>751.58*12</f>
        <v>9018.9600000000009</v>
      </c>
      <c r="K16" s="117"/>
      <c r="L16" s="487" t="s">
        <v>2</v>
      </c>
      <c r="M16" s="566">
        <v>0</v>
      </c>
      <c r="N16" s="566">
        <f>SUM(P16/20)</f>
        <v>401.25599999999997</v>
      </c>
      <c r="O16" s="558">
        <f>SUM(P16/10)</f>
        <v>802.51199999999994</v>
      </c>
      <c r="P16" s="539">
        <f>(668.76*12)</f>
        <v>8025.12</v>
      </c>
      <c r="Q16" s="471"/>
    </row>
    <row r="17" spans="1:20" x14ac:dyDescent="0.25">
      <c r="A17" s="789" t="s">
        <v>122</v>
      </c>
      <c r="B17" s="790"/>
      <c r="C17" s="790"/>
      <c r="D17" s="791"/>
      <c r="E17" s="87"/>
      <c r="F17" s="489"/>
      <c r="G17" s="149"/>
      <c r="H17" s="149"/>
      <c r="I17" s="150"/>
      <c r="J17" s="490"/>
      <c r="K17" s="156"/>
      <c r="L17" s="489"/>
      <c r="M17" s="149"/>
      <c r="N17" s="149"/>
      <c r="O17" s="150"/>
      <c r="P17" s="490"/>
    </row>
    <row r="18" spans="1:20" x14ac:dyDescent="0.25">
      <c r="A18" s="492"/>
      <c r="B18" s="61"/>
      <c r="C18" s="121"/>
      <c r="D18" s="493"/>
      <c r="E18" s="87"/>
      <c r="F18" s="485"/>
      <c r="G18" s="61"/>
      <c r="H18" s="61"/>
      <c r="I18" s="117"/>
      <c r="J18" s="491"/>
      <c r="K18" s="156"/>
      <c r="L18" s="485"/>
      <c r="M18" s="61"/>
      <c r="N18" s="61"/>
      <c r="O18" s="117"/>
      <c r="P18" s="491"/>
    </row>
    <row r="19" spans="1:20" ht="15" customHeight="1" x14ac:dyDescent="0.25">
      <c r="A19" s="771" t="s">
        <v>134</v>
      </c>
      <c r="B19" s="772"/>
      <c r="C19" s="772"/>
      <c r="D19" s="773"/>
      <c r="E19" s="87"/>
      <c r="F19" s="485"/>
      <c r="G19" s="61"/>
      <c r="H19" s="61"/>
      <c r="I19" s="117"/>
      <c r="J19" s="491"/>
      <c r="K19" s="156"/>
      <c r="L19" s="485"/>
      <c r="M19" s="61"/>
      <c r="N19" s="61"/>
      <c r="O19" s="117"/>
      <c r="P19" s="491"/>
      <c r="Q19" s="95"/>
    </row>
    <row r="20" spans="1:20" x14ac:dyDescent="0.25">
      <c r="A20" s="771"/>
      <c r="B20" s="772"/>
      <c r="C20" s="772"/>
      <c r="D20" s="773"/>
      <c r="E20" s="87"/>
      <c r="F20" s="828" t="s">
        <v>122</v>
      </c>
      <c r="G20" s="829"/>
      <c r="H20" s="829"/>
      <c r="I20" s="829"/>
      <c r="J20" s="830"/>
      <c r="K20" s="164"/>
      <c r="L20" s="828" t="s">
        <v>122</v>
      </c>
      <c r="M20" s="829"/>
      <c r="N20" s="829"/>
      <c r="O20" s="829"/>
      <c r="P20" s="830"/>
    </row>
    <row r="21" spans="1:20" x14ac:dyDescent="0.25">
      <c r="A21" s="771"/>
      <c r="B21" s="772"/>
      <c r="C21" s="772"/>
      <c r="D21" s="773"/>
      <c r="E21" s="110"/>
      <c r="F21" s="492"/>
      <c r="G21" s="61"/>
      <c r="H21" s="61"/>
      <c r="I21" s="121"/>
      <c r="J21" s="493"/>
      <c r="K21" s="157"/>
      <c r="L21" s="492"/>
      <c r="M21" s="61"/>
      <c r="N21" s="61"/>
      <c r="O21" s="121"/>
      <c r="P21" s="493"/>
    </row>
    <row r="22" spans="1:20" ht="15" customHeight="1" thickBot="1" x14ac:dyDescent="0.3">
      <c r="A22" s="513"/>
      <c r="B22" s="514"/>
      <c r="C22" s="515"/>
      <c r="D22" s="516"/>
      <c r="E22" s="92"/>
      <c r="F22" s="702" t="s">
        <v>138</v>
      </c>
      <c r="G22" s="703"/>
      <c r="H22" s="703"/>
      <c r="I22" s="703"/>
      <c r="J22" s="704"/>
      <c r="K22" s="117"/>
      <c r="L22" s="702" t="s">
        <v>138</v>
      </c>
      <c r="M22" s="703"/>
      <c r="N22" s="703"/>
      <c r="O22" s="703"/>
      <c r="P22" s="704"/>
      <c r="Q22" s="84"/>
    </row>
    <row r="23" spans="1:20" x14ac:dyDescent="0.25">
      <c r="E23" s="92"/>
      <c r="F23" s="497"/>
      <c r="G23" s="186"/>
      <c r="H23" s="186"/>
      <c r="I23" s="186"/>
      <c r="J23" s="498"/>
      <c r="K23" s="156"/>
      <c r="L23" s="497"/>
      <c r="M23" s="186"/>
      <c r="N23" s="186"/>
      <c r="O23" s="186"/>
      <c r="P23" s="498"/>
      <c r="Q23" s="84"/>
    </row>
    <row r="24" spans="1:20" x14ac:dyDescent="0.25">
      <c r="E24" s="108"/>
      <c r="F24" s="499"/>
      <c r="G24" s="184"/>
      <c r="H24" s="184"/>
      <c r="I24" s="184"/>
      <c r="J24" s="500"/>
      <c r="K24" s="158"/>
      <c r="L24" s="499"/>
      <c r="M24" s="184"/>
      <c r="N24" s="184"/>
      <c r="O24" s="184"/>
      <c r="P24" s="500"/>
      <c r="Q24" s="84"/>
    </row>
    <row r="25" spans="1:20" x14ac:dyDescent="0.25">
      <c r="E25" s="110"/>
      <c r="F25" s="501"/>
      <c r="G25" s="143"/>
      <c r="H25" s="143"/>
      <c r="I25" s="125"/>
      <c r="J25" s="491"/>
      <c r="K25" s="157"/>
      <c r="L25" s="501"/>
      <c r="M25" s="143"/>
      <c r="N25" s="143"/>
      <c r="O25" s="125"/>
      <c r="P25" s="491"/>
      <c r="Q25" s="84"/>
    </row>
    <row r="26" spans="1:20" x14ac:dyDescent="0.25">
      <c r="E26" s="92"/>
      <c r="F26" s="502"/>
      <c r="G26" s="143"/>
      <c r="H26" s="143"/>
      <c r="I26" s="125"/>
      <c r="J26" s="491"/>
      <c r="K26" s="156"/>
      <c r="L26" s="502"/>
      <c r="M26" s="143"/>
      <c r="N26" s="143"/>
      <c r="O26" s="125"/>
      <c r="P26" s="491"/>
      <c r="Q26" s="84"/>
      <c r="R26" s="283"/>
      <c r="T26" s="471"/>
    </row>
    <row r="27" spans="1:20" ht="15.75" customHeight="1" x14ac:dyDescent="0.25">
      <c r="E27" s="92"/>
      <c r="F27" s="828" t="s">
        <v>144</v>
      </c>
      <c r="G27" s="829"/>
      <c r="H27" s="829"/>
      <c r="I27" s="829"/>
      <c r="J27" s="830"/>
      <c r="K27" s="156"/>
      <c r="L27" s="828" t="s">
        <v>144</v>
      </c>
      <c r="M27" s="829"/>
      <c r="N27" s="829"/>
      <c r="O27" s="829"/>
      <c r="P27" s="830"/>
      <c r="Q27" s="84"/>
    </row>
    <row r="28" spans="1:20" ht="15.75" customHeight="1" x14ac:dyDescent="0.25">
      <c r="A28" s="681"/>
      <c r="B28" s="681"/>
      <c r="C28" s="681"/>
      <c r="D28" s="681"/>
      <c r="E28" s="108"/>
      <c r="F28" s="503"/>
      <c r="G28" s="145"/>
      <c r="H28" s="646" t="s">
        <v>202</v>
      </c>
      <c r="I28" s="91"/>
      <c r="J28" s="540" t="s">
        <v>5</v>
      </c>
      <c r="K28" s="159"/>
      <c r="L28" s="503"/>
      <c r="M28" s="145"/>
      <c r="N28" s="646" t="s">
        <v>202</v>
      </c>
      <c r="O28" s="91"/>
      <c r="P28" s="540" t="s">
        <v>5</v>
      </c>
      <c r="Q28" s="84"/>
    </row>
    <row r="29" spans="1:20" x14ac:dyDescent="0.25">
      <c r="A29" s="69"/>
      <c r="B29" s="109"/>
      <c r="C29" s="109"/>
      <c r="E29" s="110"/>
      <c r="F29" s="487" t="s">
        <v>3</v>
      </c>
      <c r="G29" s="145"/>
      <c r="H29" s="566">
        <v>3300</v>
      </c>
      <c r="I29" s="556"/>
      <c r="J29" s="538">
        <f>H29/20</f>
        <v>165</v>
      </c>
      <c r="K29" s="112"/>
      <c r="L29" s="487" t="s">
        <v>3</v>
      </c>
      <c r="M29" s="145"/>
      <c r="N29" s="566">
        <v>4203.8599999999997</v>
      </c>
      <c r="O29" s="556"/>
      <c r="P29" s="538">
        <f>N29/20</f>
        <v>210.19299999999998</v>
      </c>
      <c r="Q29" s="84"/>
    </row>
    <row r="30" spans="1:20" x14ac:dyDescent="0.25">
      <c r="E30" s="110"/>
      <c r="F30" s="505"/>
      <c r="G30" s="646"/>
      <c r="H30" s="567"/>
      <c r="I30" s="556"/>
      <c r="J30" s="539"/>
      <c r="K30" s="156"/>
      <c r="L30" s="505"/>
      <c r="M30" s="646"/>
      <c r="N30" s="567"/>
      <c r="O30" s="556"/>
      <c r="P30" s="539"/>
      <c r="Q30" s="84"/>
      <c r="R30" s="283"/>
      <c r="T30" s="471"/>
    </row>
    <row r="31" spans="1:20" x14ac:dyDescent="0.25">
      <c r="E31" s="92"/>
      <c r="F31" s="487" t="s">
        <v>2</v>
      </c>
      <c r="G31" s="143"/>
      <c r="H31" s="566">
        <v>1650</v>
      </c>
      <c r="I31" s="556"/>
      <c r="J31" s="539">
        <f>H31/20</f>
        <v>82.5</v>
      </c>
      <c r="K31" s="156"/>
      <c r="L31" s="487" t="s">
        <v>2</v>
      </c>
      <c r="M31" s="143"/>
      <c r="N31" s="566">
        <v>2048.59</v>
      </c>
      <c r="O31" s="556"/>
      <c r="P31" s="539">
        <f>N31/20</f>
        <v>102.4295</v>
      </c>
      <c r="Q31" s="84"/>
    </row>
    <row r="32" spans="1:20" x14ac:dyDescent="0.25">
      <c r="E32" s="108"/>
      <c r="F32" s="503"/>
      <c r="G32" s="145"/>
      <c r="H32" s="173"/>
      <c r="I32" s="125"/>
      <c r="J32" s="504"/>
      <c r="K32" s="159"/>
      <c r="L32" s="503"/>
      <c r="M32" s="145"/>
      <c r="N32" s="173"/>
      <c r="O32" s="125"/>
      <c r="P32" s="504"/>
      <c r="Q32" s="84"/>
    </row>
    <row r="33" spans="5:20" x14ac:dyDescent="0.25">
      <c r="E33" s="110"/>
      <c r="F33" s="822" t="s">
        <v>203</v>
      </c>
      <c r="G33" s="823"/>
      <c r="H33" s="823"/>
      <c r="I33" s="823"/>
      <c r="J33" s="824"/>
      <c r="K33" s="112"/>
      <c r="L33" s="822" t="s">
        <v>203</v>
      </c>
      <c r="M33" s="823"/>
      <c r="N33" s="823"/>
      <c r="O33" s="823"/>
      <c r="P33" s="824"/>
      <c r="Q33" s="84"/>
    </row>
    <row r="34" spans="5:20" ht="15" customHeight="1" x14ac:dyDescent="0.25">
      <c r="E34" s="92"/>
      <c r="F34" s="822" t="s">
        <v>204</v>
      </c>
      <c r="G34" s="823"/>
      <c r="H34" s="823"/>
      <c r="I34" s="823"/>
      <c r="J34" s="824"/>
      <c r="K34" s="543"/>
      <c r="L34" s="822" t="s">
        <v>204</v>
      </c>
      <c r="M34" s="823"/>
      <c r="N34" s="823"/>
      <c r="O34" s="823"/>
      <c r="P34" s="824"/>
      <c r="Q34" s="84"/>
      <c r="R34" s="283"/>
      <c r="T34" s="471"/>
    </row>
    <row r="35" spans="5:20" ht="15.75" thickBot="1" x14ac:dyDescent="0.3">
      <c r="E35" s="92"/>
      <c r="F35" s="506"/>
      <c r="G35" s="507"/>
      <c r="H35" s="507"/>
      <c r="I35" s="508"/>
      <c r="J35" s="509"/>
      <c r="K35" s="160"/>
      <c r="L35" s="506"/>
      <c r="M35" s="507"/>
      <c r="N35" s="507"/>
      <c r="O35" s="508"/>
      <c r="P35" s="509"/>
      <c r="Q35" s="84"/>
    </row>
    <row r="36" spans="5:20" x14ac:dyDescent="0.25">
      <c r="E36" s="108"/>
      <c r="F36" s="124"/>
      <c r="G36" s="143"/>
      <c r="H36" s="143"/>
      <c r="I36" s="125"/>
      <c r="J36" s="156"/>
      <c r="K36" s="161"/>
      <c r="L36" s="125"/>
      <c r="M36" s="145"/>
      <c r="N36" s="91"/>
      <c r="O36" s="161"/>
      <c r="P36" s="84"/>
      <c r="Q36" s="84"/>
    </row>
    <row r="37" spans="5:20" x14ac:dyDescent="0.25">
      <c r="E37" s="110"/>
      <c r="F37" s="124"/>
      <c r="G37" s="143"/>
      <c r="H37" s="143"/>
      <c r="I37" s="125"/>
      <c r="J37" s="156"/>
      <c r="K37" s="112"/>
      <c r="L37" s="189"/>
      <c r="M37" s="143"/>
      <c r="N37" s="164"/>
      <c r="O37" s="164"/>
      <c r="P37" s="84"/>
      <c r="Q37" s="84"/>
    </row>
    <row r="38" spans="5:20" x14ac:dyDescent="0.25">
      <c r="E38" s="92"/>
      <c r="F38" s="15"/>
      <c r="G38" s="15"/>
      <c r="H38" s="15"/>
      <c r="I38" s="15"/>
      <c r="J38" s="15"/>
      <c r="K38" s="156"/>
      <c r="L38" s="91"/>
      <c r="M38" s="143"/>
      <c r="N38" s="156"/>
      <c r="O38" s="156"/>
      <c r="P38" s="84"/>
      <c r="Q38" s="84"/>
      <c r="R38" s="283"/>
      <c r="T38" s="471"/>
    </row>
    <row r="39" spans="5:20" x14ac:dyDescent="0.25">
      <c r="E39" s="92"/>
      <c r="K39" s="156"/>
      <c r="L39" s="91"/>
      <c r="M39" s="143"/>
      <c r="N39" s="279"/>
      <c r="O39" s="156"/>
      <c r="P39" s="84"/>
      <c r="Q39" s="84"/>
    </row>
    <row r="40" spans="5:20" x14ac:dyDescent="0.25">
      <c r="E40" s="75"/>
      <c r="L40" s="69"/>
      <c r="M40" s="68"/>
      <c r="N40" s="68"/>
    </row>
    <row r="41" spans="5:20" x14ac:dyDescent="0.25">
      <c r="E41" s="68"/>
      <c r="L41" s="69"/>
      <c r="M41" s="68"/>
      <c r="N41" s="68"/>
    </row>
    <row r="42" spans="5:20" ht="15" customHeight="1" x14ac:dyDescent="0.25">
      <c r="L42" s="62"/>
    </row>
  </sheetData>
  <mergeCells count="28">
    <mergeCell ref="F5:J5"/>
    <mergeCell ref="L5:P5"/>
    <mergeCell ref="A4:D4"/>
    <mergeCell ref="A5:D7"/>
    <mergeCell ref="A1:P1"/>
    <mergeCell ref="A2:O2"/>
    <mergeCell ref="F4:J4"/>
    <mergeCell ref="L4:P4"/>
    <mergeCell ref="F9:J9"/>
    <mergeCell ref="L9:P9"/>
    <mergeCell ref="F10:J10"/>
    <mergeCell ref="L10:P10"/>
    <mergeCell ref="A9:D9"/>
    <mergeCell ref="A10:D10"/>
    <mergeCell ref="G11:H11"/>
    <mergeCell ref="M11:N11"/>
    <mergeCell ref="F20:J20"/>
    <mergeCell ref="L20:P20"/>
    <mergeCell ref="A17:D17"/>
    <mergeCell ref="A19:D21"/>
    <mergeCell ref="L33:P33"/>
    <mergeCell ref="F34:J34"/>
    <mergeCell ref="L34:P34"/>
    <mergeCell ref="F22:J22"/>
    <mergeCell ref="L22:P22"/>
    <mergeCell ref="F27:J27"/>
    <mergeCell ref="L27:P27"/>
    <mergeCell ref="F33:J33"/>
  </mergeCells>
  <pageMargins left="0.74" right="0.14000000000000001" top="0.23" bottom="0.24" header="0.25" footer="0.19"/>
  <pageSetup scale="83" orientation="landscape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Y56"/>
  <sheetViews>
    <sheetView workbookViewId="0">
      <selection activeCell="L19" sqref="L19"/>
    </sheetView>
  </sheetViews>
  <sheetFormatPr defaultRowHeight="15" x14ac:dyDescent="0.25"/>
  <cols>
    <col min="1" max="1" width="16.28515625" customWidth="1"/>
    <col min="2" max="2" width="8.5703125" customWidth="1"/>
    <col min="3" max="3" width="8.42578125" customWidth="1"/>
    <col min="4" max="4" width="8.5703125" customWidth="1"/>
    <col min="5" max="5" width="15.140625" customWidth="1"/>
    <col min="6" max="6" width="8.85546875" customWidth="1"/>
    <col min="7" max="7" width="14.140625" customWidth="1"/>
    <col min="8" max="9" width="8.7109375" customWidth="1"/>
    <col min="10" max="10" width="8.42578125" customWidth="1"/>
    <col min="11" max="11" width="13.5703125" customWidth="1"/>
    <col min="12" max="12" width="7.7109375" style="15" customWidth="1"/>
    <col min="13" max="13" width="15.28515625" style="15" customWidth="1"/>
    <col min="14" max="14" width="9.28515625" customWidth="1"/>
    <col min="15" max="15" width="9.140625" customWidth="1"/>
    <col min="16" max="16" width="10.140625" customWidth="1"/>
    <col min="17" max="17" width="12.85546875" customWidth="1"/>
  </cols>
  <sheetData>
    <row r="1" spans="1:25" ht="15.75" x14ac:dyDescent="0.25">
      <c r="B1" s="893" t="s">
        <v>214</v>
      </c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</row>
    <row r="2" spans="1:25" x14ac:dyDescent="0.25"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25" ht="16.5" thickBot="1" x14ac:dyDescent="0.3"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7"/>
      <c r="M3" s="581"/>
      <c r="N3" s="581"/>
      <c r="O3" s="581"/>
      <c r="P3" s="581"/>
    </row>
    <row r="4" spans="1:25" ht="19.5" customHeight="1" x14ac:dyDescent="0.25">
      <c r="A4" s="901" t="s">
        <v>222</v>
      </c>
      <c r="B4" s="902"/>
      <c r="C4" s="902"/>
      <c r="D4" s="902"/>
      <c r="E4" s="903"/>
      <c r="F4" s="581"/>
      <c r="G4" s="907" t="s">
        <v>224</v>
      </c>
      <c r="H4" s="908"/>
      <c r="I4" s="908"/>
      <c r="J4" s="908"/>
      <c r="K4" s="909"/>
      <c r="L4" s="588" t="s">
        <v>206</v>
      </c>
      <c r="M4" s="759" t="s">
        <v>207</v>
      </c>
      <c r="N4" s="760"/>
      <c r="O4" s="760"/>
      <c r="P4" s="760"/>
      <c r="Q4" s="761"/>
      <c r="R4" s="480"/>
      <c r="S4" s="480"/>
      <c r="T4" s="480"/>
      <c r="U4" s="480"/>
      <c r="V4" s="480"/>
      <c r="W4" s="480"/>
      <c r="X4" s="480"/>
      <c r="Y4" s="480"/>
    </row>
    <row r="5" spans="1:25" ht="19.5" customHeight="1" thickBot="1" x14ac:dyDescent="0.3">
      <c r="A5" s="904"/>
      <c r="B5" s="905"/>
      <c r="C5" s="905"/>
      <c r="D5" s="905"/>
      <c r="E5" s="906"/>
      <c r="F5" s="480"/>
      <c r="G5" s="910" t="s">
        <v>147</v>
      </c>
      <c r="H5" s="911"/>
      <c r="I5" s="911"/>
      <c r="J5" s="911"/>
      <c r="K5" s="912"/>
      <c r="L5" s="589"/>
      <c r="M5" s="765" t="s">
        <v>208</v>
      </c>
      <c r="N5" s="766"/>
      <c r="O5" s="766"/>
      <c r="P5" s="766"/>
      <c r="Q5" s="767"/>
      <c r="R5" s="517"/>
      <c r="S5" s="517"/>
      <c r="T5" s="517"/>
      <c r="U5" s="517"/>
      <c r="V5" s="517"/>
      <c r="W5" s="517"/>
      <c r="X5" s="517"/>
      <c r="Y5" s="517"/>
    </row>
    <row r="6" spans="1:25" ht="19.5" customHeight="1" thickBot="1" x14ac:dyDescent="0.3">
      <c r="F6" s="480"/>
      <c r="G6" s="480"/>
      <c r="H6" s="518"/>
      <c r="I6" s="518"/>
      <c r="J6" s="518"/>
      <c r="K6" s="518"/>
      <c r="L6" s="590"/>
      <c r="M6" s="510"/>
      <c r="Q6" s="517"/>
      <c r="R6" s="517"/>
      <c r="S6" s="517"/>
      <c r="T6" s="517"/>
      <c r="U6" s="517"/>
      <c r="V6" s="517"/>
      <c r="W6" s="517"/>
      <c r="X6" s="517"/>
      <c r="Y6" s="517"/>
    </row>
    <row r="7" spans="1:25" ht="15.75" thickBot="1" x14ac:dyDescent="0.3">
      <c r="A7" s="894" t="s">
        <v>223</v>
      </c>
      <c r="B7" s="895"/>
      <c r="C7" s="895"/>
      <c r="D7" s="895"/>
      <c r="E7" s="896"/>
      <c r="F7" s="87"/>
      <c r="G7" s="897" t="s">
        <v>223</v>
      </c>
      <c r="H7" s="898"/>
      <c r="I7" s="898"/>
      <c r="J7" s="898"/>
      <c r="K7" s="899"/>
      <c r="L7" s="591" t="s">
        <v>206</v>
      </c>
      <c r="M7" s="749" t="s">
        <v>223</v>
      </c>
      <c r="N7" s="750"/>
      <c r="O7" s="750"/>
      <c r="P7" s="750"/>
      <c r="Q7" s="751"/>
    </row>
    <row r="8" spans="1:25" x14ac:dyDescent="0.25">
      <c r="A8" s="560"/>
      <c r="B8" s="752"/>
      <c r="C8" s="752"/>
      <c r="D8" s="752"/>
      <c r="E8" s="753"/>
      <c r="F8" s="87"/>
      <c r="G8" s="651"/>
      <c r="H8" s="752"/>
      <c r="I8" s="752"/>
      <c r="J8" s="752"/>
      <c r="K8" s="753"/>
      <c r="L8" s="580"/>
      <c r="M8" s="635"/>
      <c r="N8" s="752"/>
      <c r="O8" s="752"/>
      <c r="P8" s="752"/>
      <c r="Q8" s="753"/>
    </row>
    <row r="9" spans="1:25" x14ac:dyDescent="0.25">
      <c r="A9" s="560"/>
      <c r="B9" s="582"/>
      <c r="C9" s="737" t="s">
        <v>215</v>
      </c>
      <c r="D9" s="738"/>
      <c r="E9" s="482"/>
      <c r="F9" s="87"/>
      <c r="G9" s="651"/>
      <c r="H9" s="582"/>
      <c r="I9" s="737" t="s">
        <v>215</v>
      </c>
      <c r="J9" s="738"/>
      <c r="K9" s="482"/>
      <c r="L9" s="580"/>
      <c r="M9" s="635"/>
      <c r="N9" s="582"/>
      <c r="O9" s="739" t="s">
        <v>215</v>
      </c>
      <c r="P9" s="739"/>
      <c r="Q9" s="482"/>
    </row>
    <row r="10" spans="1:25" x14ac:dyDescent="0.25">
      <c r="A10" s="653"/>
      <c r="B10" s="592"/>
      <c r="C10" s="741" t="s">
        <v>216</v>
      </c>
      <c r="D10" s="741" t="s">
        <v>238</v>
      </c>
      <c r="E10" s="484" t="s">
        <v>26</v>
      </c>
      <c r="F10" s="87"/>
      <c r="G10" s="652"/>
      <c r="H10" s="593"/>
      <c r="I10" s="741" t="s">
        <v>237</v>
      </c>
      <c r="J10" s="741" t="s">
        <v>238</v>
      </c>
      <c r="K10" s="484" t="s">
        <v>26</v>
      </c>
      <c r="L10" s="175"/>
      <c r="M10" s="663"/>
      <c r="N10" s="592"/>
      <c r="O10" s="741" t="s">
        <v>235</v>
      </c>
      <c r="P10" s="741" t="s">
        <v>239</v>
      </c>
      <c r="Q10" s="484" t="s">
        <v>26</v>
      </c>
    </row>
    <row r="11" spans="1:25" ht="25.5" customHeight="1" x14ac:dyDescent="0.25">
      <c r="A11" s="653"/>
      <c r="B11" s="584"/>
      <c r="C11" s="742"/>
      <c r="D11" s="742"/>
      <c r="E11" s="661"/>
      <c r="F11" s="87"/>
      <c r="G11" s="652"/>
      <c r="H11" s="584"/>
      <c r="I11" s="742"/>
      <c r="J11" s="742"/>
      <c r="K11" s="486"/>
      <c r="L11" s="112"/>
      <c r="M11" s="664"/>
      <c r="N11" s="594"/>
      <c r="O11" s="742"/>
      <c r="P11" s="742"/>
      <c r="Q11" s="661"/>
      <c r="R11" s="65"/>
    </row>
    <row r="12" spans="1:25" x14ac:dyDescent="0.25">
      <c r="A12" s="653" t="s">
        <v>217</v>
      </c>
      <c r="B12" s="584" t="s">
        <v>3</v>
      </c>
      <c r="C12" s="585">
        <f>SUM(E12/19)*0.44</f>
        <v>553.30787368421056</v>
      </c>
      <c r="D12" s="585">
        <f>SUM(E12/19)*0.56</f>
        <v>704.21002105263176</v>
      </c>
      <c r="E12" s="654">
        <v>23892.84</v>
      </c>
      <c r="F12" s="87"/>
      <c r="G12" s="653" t="s">
        <v>217</v>
      </c>
      <c r="H12" s="584" t="s">
        <v>3</v>
      </c>
      <c r="I12" s="597">
        <f>SUM(K12/19)*0.44</f>
        <v>465.60985263157897</v>
      </c>
      <c r="J12" s="597">
        <f>SUM(K12/19)*0.56</f>
        <v>592.59435789473696</v>
      </c>
      <c r="K12" s="654">
        <v>20105.88</v>
      </c>
      <c r="L12" s="114"/>
      <c r="M12" s="653" t="s">
        <v>217</v>
      </c>
      <c r="N12" s="584" t="s">
        <v>3</v>
      </c>
      <c r="O12" s="585">
        <f>SUM(Q12*0.44)/19</f>
        <v>426.84631578947369</v>
      </c>
      <c r="P12" s="585">
        <f>SUM(Q12*0.56)/19</f>
        <v>543.2589473684211</v>
      </c>
      <c r="Q12" s="654">
        <v>18432</v>
      </c>
      <c r="R12" s="479" t="s">
        <v>157</v>
      </c>
    </row>
    <row r="13" spans="1:25" x14ac:dyDescent="0.25">
      <c r="A13" s="653"/>
      <c r="B13" s="584" t="s">
        <v>2</v>
      </c>
      <c r="C13" s="585">
        <v>52.92</v>
      </c>
      <c r="D13" s="585">
        <f>SUM(E13/19)-C13</f>
        <v>501.71368421052631</v>
      </c>
      <c r="E13" s="655">
        <v>10538.04</v>
      </c>
      <c r="F13" s="87"/>
      <c r="G13" s="653"/>
      <c r="H13" s="584" t="s">
        <v>2</v>
      </c>
      <c r="I13" s="585">
        <v>30.81</v>
      </c>
      <c r="J13" s="597">
        <f>SUM(K13/19)-I13</f>
        <v>435.9142105263158</v>
      </c>
      <c r="K13" s="655">
        <v>8867.76</v>
      </c>
      <c r="L13" s="117"/>
      <c r="M13" s="653"/>
      <c r="N13" s="584" t="s">
        <v>2</v>
      </c>
      <c r="O13" s="585">
        <v>0</v>
      </c>
      <c r="P13" s="585">
        <f>SUM(Q13/19)</f>
        <v>427.86947368421056</v>
      </c>
      <c r="Q13" s="655">
        <v>8129.52</v>
      </c>
      <c r="R13" s="84"/>
    </row>
    <row r="14" spans="1:25" x14ac:dyDescent="0.25">
      <c r="A14" s="653"/>
      <c r="B14" s="584"/>
      <c r="C14" s="586"/>
      <c r="D14" s="586"/>
      <c r="E14" s="656"/>
      <c r="F14" s="87"/>
      <c r="G14" s="653"/>
      <c r="H14" s="584"/>
      <c r="I14" s="586"/>
      <c r="J14" s="586"/>
      <c r="K14" s="656"/>
      <c r="L14" s="156"/>
      <c r="M14" s="653"/>
      <c r="N14" s="584"/>
      <c r="O14" s="586"/>
      <c r="P14" s="586"/>
      <c r="Q14" s="656"/>
      <c r="R14" s="84"/>
    </row>
    <row r="15" spans="1:25" x14ac:dyDescent="0.25">
      <c r="A15" s="653" t="s">
        <v>218</v>
      </c>
      <c r="B15" s="584" t="s">
        <v>3</v>
      </c>
      <c r="C15" s="585">
        <f>SUM(E15/19)*0.5</f>
        <v>628.7589473684211</v>
      </c>
      <c r="D15" s="585">
        <f>SUM(E15/19)*0.5</f>
        <v>628.7589473684211</v>
      </c>
      <c r="E15" s="654">
        <v>23892.84</v>
      </c>
      <c r="F15" s="87"/>
      <c r="G15" s="653" t="s">
        <v>218</v>
      </c>
      <c r="H15" s="584" t="s">
        <v>3</v>
      </c>
      <c r="I15" s="597">
        <f>SUM(K15/19)*0.5</f>
        <v>529.10210526315791</v>
      </c>
      <c r="J15" s="597">
        <f>SUM(K15/19)*0.5</f>
        <v>529.10210526315791</v>
      </c>
      <c r="K15" s="654">
        <v>20105.88</v>
      </c>
      <c r="L15" s="114"/>
      <c r="M15" s="653" t="s">
        <v>218</v>
      </c>
      <c r="N15" s="584" t="s">
        <v>3</v>
      </c>
      <c r="O15" s="585">
        <f>SUM(Q15/19)*0.5</f>
        <v>485.05263157894734</v>
      </c>
      <c r="P15" s="585">
        <f>SUM(Q15/19)*0.5</f>
        <v>485.05263157894734</v>
      </c>
      <c r="Q15" s="654">
        <v>18432</v>
      </c>
      <c r="R15" s="84"/>
      <c r="S15" s="283">
        <v>0.87</v>
      </c>
    </row>
    <row r="16" spans="1:25" x14ac:dyDescent="0.25">
      <c r="A16" s="653"/>
      <c r="B16" s="584" t="s">
        <v>2</v>
      </c>
      <c r="C16" s="597">
        <f>(D13+C13)-D16</f>
        <v>118.14277894736841</v>
      </c>
      <c r="D16" s="585">
        <f>SUM(D13*0.87)</f>
        <v>436.49090526315791</v>
      </c>
      <c r="E16" s="655">
        <v>10538.04</v>
      </c>
      <c r="F16" s="87"/>
      <c r="G16" s="653"/>
      <c r="H16" s="584" t="s">
        <v>2</v>
      </c>
      <c r="I16" s="597">
        <f>SUM(I13+J13)-J16</f>
        <v>87.478847368421043</v>
      </c>
      <c r="J16" s="597">
        <f>SUM(J13*0.87)</f>
        <v>379.24536315789476</v>
      </c>
      <c r="K16" s="655">
        <v>8867.76</v>
      </c>
      <c r="L16" s="117"/>
      <c r="M16" s="653"/>
      <c r="N16" s="584" t="s">
        <v>2</v>
      </c>
      <c r="O16" s="585">
        <f>SUM(P13-P16)</f>
        <v>55.623031578947348</v>
      </c>
      <c r="P16" s="585">
        <f>SUM(P13*0.87)</f>
        <v>372.24644210526321</v>
      </c>
      <c r="Q16" s="655">
        <v>8129.52</v>
      </c>
      <c r="R16" s="84"/>
    </row>
    <row r="17" spans="1:24" x14ac:dyDescent="0.25">
      <c r="A17" s="653"/>
      <c r="B17" s="584"/>
      <c r="C17" s="585"/>
      <c r="D17" s="585"/>
      <c r="E17" s="655"/>
      <c r="F17" s="87"/>
      <c r="G17" s="653"/>
      <c r="H17" s="584"/>
      <c r="I17" s="585"/>
      <c r="J17" s="585"/>
      <c r="K17" s="655"/>
      <c r="L17" s="117"/>
      <c r="M17" s="653"/>
      <c r="N17" s="584"/>
      <c r="O17" s="585"/>
      <c r="P17" s="585"/>
      <c r="Q17" s="655"/>
      <c r="R17" s="84"/>
    </row>
    <row r="18" spans="1:24" x14ac:dyDescent="0.25">
      <c r="A18" s="653" t="s">
        <v>219</v>
      </c>
      <c r="B18" s="584" t="s">
        <v>3</v>
      </c>
      <c r="C18" s="585">
        <f>SUM(E18/19)*0.5</f>
        <v>628.7589473684211</v>
      </c>
      <c r="D18" s="585">
        <f>SUM(E18/19)*0.5</f>
        <v>628.7589473684211</v>
      </c>
      <c r="E18" s="654">
        <v>23892.84</v>
      </c>
      <c r="F18" s="87"/>
      <c r="G18" s="653" t="s">
        <v>219</v>
      </c>
      <c r="H18" s="584" t="s">
        <v>3</v>
      </c>
      <c r="I18" s="597">
        <f>SUM(K18/19)*0.5</f>
        <v>529.10210526315791</v>
      </c>
      <c r="J18" s="597">
        <f>SUM(K18/19)*0.5</f>
        <v>529.10210526315791</v>
      </c>
      <c r="K18" s="654">
        <v>20105.88</v>
      </c>
      <c r="L18" s="114"/>
      <c r="M18" s="653" t="s">
        <v>219</v>
      </c>
      <c r="N18" s="584" t="s">
        <v>3</v>
      </c>
      <c r="O18" s="585">
        <f>SUM(Q18/19)*0.5</f>
        <v>485.05263157894734</v>
      </c>
      <c r="P18" s="585">
        <f>SUM(Q18/19)*0.5</f>
        <v>485.05263157894734</v>
      </c>
      <c r="Q18" s="654">
        <v>18432</v>
      </c>
      <c r="R18" s="84"/>
      <c r="S18" s="283">
        <v>0.75</v>
      </c>
      <c r="T18" t="s">
        <v>182</v>
      </c>
    </row>
    <row r="19" spans="1:24" x14ac:dyDescent="0.25">
      <c r="A19" s="653"/>
      <c r="B19" s="584" t="s">
        <v>2</v>
      </c>
      <c r="C19" s="597">
        <f>SUM(C13+D13)-D19</f>
        <v>178.34842105263158</v>
      </c>
      <c r="D19" s="585">
        <f>SUM(D13)*0.75</f>
        <v>376.28526315789475</v>
      </c>
      <c r="E19" s="655">
        <v>10538.04</v>
      </c>
      <c r="F19" s="87"/>
      <c r="G19" s="653"/>
      <c r="H19" s="584" t="s">
        <v>2</v>
      </c>
      <c r="I19" s="597">
        <f>SUM(I13+J13)-J19</f>
        <v>139.78855263157897</v>
      </c>
      <c r="J19" s="597">
        <f>SUM(J13*0.75)</f>
        <v>326.93565789473683</v>
      </c>
      <c r="K19" s="655">
        <v>8867.76</v>
      </c>
      <c r="L19" s="117"/>
      <c r="M19" s="653"/>
      <c r="N19" s="584" t="s">
        <v>2</v>
      </c>
      <c r="O19" s="597">
        <f>SUM(P13-P19)</f>
        <v>106.96736842105264</v>
      </c>
      <c r="P19" s="585">
        <f>SUM(P13*0.75)</f>
        <v>320.90210526315792</v>
      </c>
      <c r="Q19" s="655">
        <v>8129.52</v>
      </c>
      <c r="R19" s="84"/>
      <c r="T19" t="s">
        <v>181</v>
      </c>
    </row>
    <row r="20" spans="1:24" x14ac:dyDescent="0.25">
      <c r="A20" s="653"/>
      <c r="B20" s="584"/>
      <c r="C20" s="585"/>
      <c r="D20" s="585"/>
      <c r="E20" s="655"/>
      <c r="F20" s="87"/>
      <c r="G20" s="653"/>
      <c r="H20" s="584"/>
      <c r="I20" s="585"/>
      <c r="J20" s="585"/>
      <c r="K20" s="655"/>
      <c r="L20" s="117"/>
      <c r="M20" s="653"/>
      <c r="N20" s="584"/>
      <c r="O20" s="585"/>
      <c r="P20" s="585"/>
      <c r="Q20" s="655"/>
      <c r="R20" s="84"/>
      <c r="S20" s="283" t="s">
        <v>206</v>
      </c>
      <c r="T20" s="716" t="s">
        <v>210</v>
      </c>
      <c r="U20" s="716"/>
      <c r="V20" s="716"/>
      <c r="W20" s="716"/>
      <c r="X20" s="716"/>
    </row>
    <row r="21" spans="1:24" x14ac:dyDescent="0.25">
      <c r="A21" s="653" t="s">
        <v>220</v>
      </c>
      <c r="B21" s="584" t="s">
        <v>3</v>
      </c>
      <c r="C21" s="585">
        <f>SUM(E21/19)*0.5</f>
        <v>628.7589473684211</v>
      </c>
      <c r="D21" s="585">
        <f>SUM(E21/19)*0.5</f>
        <v>628.7589473684211</v>
      </c>
      <c r="E21" s="654">
        <v>23892.84</v>
      </c>
      <c r="F21" s="87"/>
      <c r="G21" s="653" t="s">
        <v>220</v>
      </c>
      <c r="H21" s="584" t="s">
        <v>3</v>
      </c>
      <c r="I21" s="597">
        <f>SUM(K21/19)*0.5</f>
        <v>529.10210526315791</v>
      </c>
      <c r="J21" s="597">
        <f>SUM(K21/19)*0.5</f>
        <v>529.10210526315791</v>
      </c>
      <c r="K21" s="654">
        <v>20105.88</v>
      </c>
      <c r="L21" s="114"/>
      <c r="M21" s="653" t="s">
        <v>220</v>
      </c>
      <c r="N21" s="584" t="s">
        <v>3</v>
      </c>
      <c r="O21" s="585">
        <f>SUM(Q21/19)*0.5</f>
        <v>485.05263157894734</v>
      </c>
      <c r="P21" s="585">
        <f>SUM(Q21/19)*0.5</f>
        <v>485.05263157894734</v>
      </c>
      <c r="Q21" s="654">
        <v>18432</v>
      </c>
      <c r="R21" s="84"/>
      <c r="S21" s="283">
        <v>0.62</v>
      </c>
    </row>
    <row r="22" spans="1:24" x14ac:dyDescent="0.25">
      <c r="A22" s="653"/>
      <c r="B22" s="584" t="s">
        <v>2</v>
      </c>
      <c r="C22" s="597">
        <f>SUM(C13+D13)-D22</f>
        <v>243.57120000000003</v>
      </c>
      <c r="D22" s="585">
        <f>SUM(D13*0.62)</f>
        <v>311.06248421052629</v>
      </c>
      <c r="E22" s="655">
        <v>10538.04</v>
      </c>
      <c r="F22" s="87"/>
      <c r="G22" s="653"/>
      <c r="H22" s="584" t="s">
        <v>2</v>
      </c>
      <c r="I22" s="597">
        <f>SUM(I13+J13)-J22</f>
        <v>196.45740000000001</v>
      </c>
      <c r="J22" s="597">
        <f>SUM(J13*0.62)</f>
        <v>270.26681052631579</v>
      </c>
      <c r="K22" s="655">
        <v>8867.76</v>
      </c>
      <c r="L22" s="117"/>
      <c r="M22" s="653"/>
      <c r="N22" s="584" t="s">
        <v>2</v>
      </c>
      <c r="O22" s="597">
        <f>SUM(P13-P22)</f>
        <v>162.59039999999999</v>
      </c>
      <c r="P22" s="585">
        <f>SUM(P13*0.62)</f>
        <v>265.27907368421057</v>
      </c>
      <c r="Q22" s="655">
        <v>8129.52</v>
      </c>
      <c r="R22" s="84"/>
    </row>
    <row r="23" spans="1:24" x14ac:dyDescent="0.25">
      <c r="A23" s="653"/>
      <c r="B23" s="584"/>
      <c r="C23" s="585"/>
      <c r="D23" s="585"/>
      <c r="E23" s="655"/>
      <c r="F23" s="87"/>
      <c r="G23" s="653"/>
      <c r="H23" s="584"/>
      <c r="I23" s="585"/>
      <c r="J23" s="585"/>
      <c r="K23" s="655"/>
      <c r="L23" s="117"/>
      <c r="M23" s="609"/>
      <c r="N23" s="595"/>
      <c r="O23" s="596"/>
      <c r="P23" s="596"/>
      <c r="Q23" s="655"/>
      <c r="R23" s="84"/>
    </row>
    <row r="24" spans="1:24" x14ac:dyDescent="0.25">
      <c r="A24" s="653" t="s">
        <v>221</v>
      </c>
      <c r="B24" s="584" t="s">
        <v>3</v>
      </c>
      <c r="C24" s="585">
        <f>SUM(E24/19)*0.5</f>
        <v>628.7589473684211</v>
      </c>
      <c r="D24" s="585">
        <f>SUM(E24/19)*0.5</f>
        <v>628.7589473684211</v>
      </c>
      <c r="E24" s="654">
        <v>23892.84</v>
      </c>
      <c r="F24" s="87"/>
      <c r="G24" s="653" t="s">
        <v>221</v>
      </c>
      <c r="H24" s="584" t="s">
        <v>3</v>
      </c>
      <c r="I24" s="597">
        <f>SUM(K24/19)*0.5</f>
        <v>529.10210526315791</v>
      </c>
      <c r="J24" s="597">
        <f>SUM(K24/19)*0.5</f>
        <v>529.10210526315791</v>
      </c>
      <c r="K24" s="654">
        <v>20105.88</v>
      </c>
      <c r="L24" s="114"/>
      <c r="M24" s="653" t="s">
        <v>221</v>
      </c>
      <c r="N24" s="584" t="s">
        <v>3</v>
      </c>
      <c r="O24" s="585">
        <f>SUM(Q24/19)*0.5</f>
        <v>485.05263157894734</v>
      </c>
      <c r="P24" s="585">
        <f>SUM(Q24/19)*0.5</f>
        <v>485.05263157894734</v>
      </c>
      <c r="Q24" s="654">
        <v>18432</v>
      </c>
      <c r="R24" s="84"/>
      <c r="S24" s="283">
        <v>0.5</v>
      </c>
    </row>
    <row r="25" spans="1:24" ht="15.75" thickBot="1" x14ac:dyDescent="0.3">
      <c r="A25" s="657"/>
      <c r="B25" s="658" t="s">
        <v>2</v>
      </c>
      <c r="C25" s="659">
        <f>SUM(C16+D16)-D25</f>
        <v>277.31684210526316</v>
      </c>
      <c r="D25" s="662">
        <f>SUM(E25/19)*0.5</f>
        <v>277.31684210526316</v>
      </c>
      <c r="E25" s="660">
        <v>10538.04</v>
      </c>
      <c r="F25" s="87"/>
      <c r="G25" s="657"/>
      <c r="H25" s="658" t="s">
        <v>2</v>
      </c>
      <c r="I25" s="659">
        <f>SUM(I22+J22)-J25</f>
        <v>233.3621052631579</v>
      </c>
      <c r="J25" s="659">
        <f>SUM(I13+J13)*0.5</f>
        <v>233.3621052631579</v>
      </c>
      <c r="K25" s="660">
        <v>8867.76</v>
      </c>
      <c r="L25" s="117"/>
      <c r="M25" s="657"/>
      <c r="N25" s="658" t="s">
        <v>2</v>
      </c>
      <c r="O25" s="659">
        <f>SUM(P13-P25)</f>
        <v>213.93473684210528</v>
      </c>
      <c r="P25" s="662">
        <f>SUM(P13*0.5)</f>
        <v>213.93473684210528</v>
      </c>
      <c r="Q25" s="660">
        <v>8129.52</v>
      </c>
      <c r="R25" s="84"/>
    </row>
    <row r="26" spans="1:24" ht="15.75" thickBot="1" x14ac:dyDescent="0.3">
      <c r="A26" s="15"/>
      <c r="B26" s="583"/>
      <c r="C26" s="61"/>
      <c r="D26" s="61"/>
      <c r="E26" s="156"/>
      <c r="F26" s="87"/>
      <c r="G26" s="117"/>
      <c r="H26" s="106"/>
      <c r="I26" s="61"/>
      <c r="J26" s="598" t="s">
        <v>206</v>
      </c>
      <c r="K26" s="156"/>
      <c r="L26" s="156"/>
      <c r="M26" s="156"/>
      <c r="N26" s="106"/>
      <c r="O26" s="61"/>
      <c r="P26" s="61"/>
      <c r="Q26" s="644"/>
      <c r="R26" s="84"/>
    </row>
    <row r="27" spans="1:24" ht="19.5" thickBot="1" x14ac:dyDescent="0.35">
      <c r="A27" s="717" t="s">
        <v>225</v>
      </c>
      <c r="B27" s="718"/>
      <c r="C27" s="719"/>
      <c r="D27" s="256"/>
      <c r="E27" s="720" t="s">
        <v>225</v>
      </c>
      <c r="F27" s="721"/>
      <c r="G27" s="722"/>
      <c r="H27" s="573" t="s">
        <v>206</v>
      </c>
      <c r="I27" s="890" t="s">
        <v>144</v>
      </c>
      <c r="J27" s="891"/>
      <c r="K27" s="892"/>
      <c r="L27" s="158"/>
      <c r="M27" s="158"/>
      <c r="O27" s="726" t="s">
        <v>144</v>
      </c>
      <c r="P27" s="727"/>
      <c r="Q27" s="728"/>
      <c r="R27" s="84"/>
      <c r="S27" s="283"/>
      <c r="T27" t="s">
        <v>206</v>
      </c>
    </row>
    <row r="28" spans="1:24" ht="16.5" customHeight="1" thickBot="1" x14ac:dyDescent="0.3">
      <c r="A28" s="754"/>
      <c r="B28" s="729"/>
      <c r="C28" s="730"/>
      <c r="D28" s="256"/>
      <c r="E28" s="754"/>
      <c r="F28" s="729"/>
      <c r="G28" s="730"/>
      <c r="H28" s="125"/>
      <c r="I28" s="623"/>
      <c r="J28" s="624" t="s">
        <v>202</v>
      </c>
      <c r="K28" s="625" t="s">
        <v>5</v>
      </c>
      <c r="L28" s="157"/>
      <c r="M28" s="157"/>
      <c r="O28" s="623"/>
      <c r="P28" s="624" t="s">
        <v>202</v>
      </c>
      <c r="Q28" s="625" t="s">
        <v>5</v>
      </c>
      <c r="R28" s="84"/>
      <c r="S28" s="283"/>
    </row>
    <row r="29" spans="1:24" ht="15" customHeight="1" x14ac:dyDescent="0.25">
      <c r="A29" s="731" t="s">
        <v>226</v>
      </c>
      <c r="B29" s="732"/>
      <c r="C29" s="733"/>
      <c r="D29" s="256"/>
      <c r="E29" s="708" t="s">
        <v>236</v>
      </c>
      <c r="F29" s="709"/>
      <c r="G29" s="710"/>
      <c r="H29" s="583"/>
      <c r="I29" s="487" t="s">
        <v>3</v>
      </c>
      <c r="J29" s="627">
        <v>2500</v>
      </c>
      <c r="K29" s="665">
        <f>SUM(J29/19)</f>
        <v>131.57894736842104</v>
      </c>
      <c r="L29" s="156"/>
      <c r="M29" s="156"/>
      <c r="O29" s="487" t="s">
        <v>3</v>
      </c>
      <c r="P29" s="626">
        <v>2846.89</v>
      </c>
      <c r="Q29" s="665">
        <f>SUM(P29/19)</f>
        <v>149.83631578947367</v>
      </c>
      <c r="R29" s="84"/>
    </row>
    <row r="30" spans="1:24" ht="15.75" customHeight="1" thickBot="1" x14ac:dyDescent="0.3">
      <c r="A30" s="734"/>
      <c r="B30" s="735"/>
      <c r="C30" s="736"/>
      <c r="D30" s="256"/>
      <c r="E30" s="711"/>
      <c r="F30" s="712"/>
      <c r="G30" s="713"/>
      <c r="H30" s="583"/>
      <c r="I30" s="505"/>
      <c r="J30" s="567"/>
      <c r="K30" s="539"/>
      <c r="L30" s="156"/>
      <c r="M30" s="156"/>
      <c r="O30" s="505"/>
      <c r="P30" s="567"/>
      <c r="Q30" s="539"/>
      <c r="R30" s="84"/>
    </row>
    <row r="31" spans="1:24" ht="15.75" customHeight="1" x14ac:dyDescent="0.25">
      <c r="A31" s="714" t="s">
        <v>227</v>
      </c>
      <c r="B31" s="636" t="s">
        <v>228</v>
      </c>
      <c r="C31" s="638" t="s">
        <v>229</v>
      </c>
      <c r="D31" s="256"/>
      <c r="E31" s="714" t="s">
        <v>227</v>
      </c>
      <c r="F31" s="636" t="s">
        <v>228</v>
      </c>
      <c r="G31" s="636" t="s">
        <v>229</v>
      </c>
      <c r="H31" s="583"/>
      <c r="I31" s="487" t="s">
        <v>2</v>
      </c>
      <c r="J31" s="627">
        <v>1250</v>
      </c>
      <c r="K31" s="665">
        <f>SUM(J31/19)</f>
        <v>65.78947368421052</v>
      </c>
      <c r="L31" s="159"/>
      <c r="M31" s="159"/>
      <c r="O31" s="487" t="s">
        <v>2</v>
      </c>
      <c r="P31" s="626">
        <v>1402.97</v>
      </c>
      <c r="Q31" s="665">
        <f>SUM(P31/19)</f>
        <v>73.840526315789475</v>
      </c>
      <c r="R31" s="84"/>
      <c r="S31" s="283"/>
    </row>
    <row r="32" spans="1:24" ht="21" customHeight="1" thickBot="1" x14ac:dyDescent="0.3">
      <c r="A32" s="715"/>
      <c r="B32" s="639">
        <v>40360</v>
      </c>
      <c r="C32" s="640">
        <v>40360</v>
      </c>
      <c r="D32" s="256"/>
      <c r="E32" s="715"/>
      <c r="F32" s="637">
        <v>39630</v>
      </c>
      <c r="G32" s="637">
        <v>39630</v>
      </c>
      <c r="H32" s="125"/>
      <c r="I32" s="641"/>
      <c r="J32" s="642"/>
      <c r="K32" s="643"/>
      <c r="L32" s="112"/>
      <c r="M32" s="112"/>
      <c r="O32" s="693"/>
      <c r="P32" s="694"/>
      <c r="Q32" s="695"/>
      <c r="R32" s="84"/>
    </row>
    <row r="33" spans="1:20" ht="15.75" customHeight="1" thickBot="1" x14ac:dyDescent="0.3">
      <c r="A33" s="696"/>
      <c r="B33" s="697"/>
      <c r="C33" s="698"/>
      <c r="D33" s="256"/>
      <c r="E33" s="696"/>
      <c r="F33" s="697"/>
      <c r="G33" s="698"/>
      <c r="H33" s="622" t="s">
        <v>206</v>
      </c>
      <c r="I33" s="699" t="s">
        <v>240</v>
      </c>
      <c r="J33" s="700"/>
      <c r="K33" s="701"/>
      <c r="L33" s="156"/>
      <c r="M33" s="156"/>
      <c r="O33" s="699" t="s">
        <v>240</v>
      </c>
      <c r="P33" s="700"/>
      <c r="Q33" s="701"/>
      <c r="R33" s="84"/>
    </row>
    <row r="34" spans="1:20" ht="15.75" thickBot="1" x14ac:dyDescent="0.3">
      <c r="A34" s="606" t="s">
        <v>230</v>
      </c>
      <c r="B34" s="607">
        <f>SUM(331.99*24)/19</f>
        <v>419.35578947368424</v>
      </c>
      <c r="C34" s="608">
        <f>SUM(87.4*24)/19</f>
        <v>110.40000000000002</v>
      </c>
      <c r="D34" s="256"/>
      <c r="E34" s="606" t="s">
        <v>230</v>
      </c>
      <c r="F34" s="607">
        <f>SUM(331.99*24)/19</f>
        <v>419.35578947368424</v>
      </c>
      <c r="G34" s="608">
        <f>SUM(87.4*24)/19</f>
        <v>110.40000000000002</v>
      </c>
      <c r="H34" s="622" t="s">
        <v>206</v>
      </c>
      <c r="I34" s="702"/>
      <c r="J34" s="703"/>
      <c r="K34" s="704"/>
      <c r="L34" s="156"/>
      <c r="M34" s="156"/>
      <c r="O34" s="702"/>
      <c r="P34" s="703"/>
      <c r="Q34" s="704"/>
      <c r="R34" s="84"/>
    </row>
    <row r="35" spans="1:20" ht="15.75" thickBot="1" x14ac:dyDescent="0.3">
      <c r="A35" s="609"/>
      <c r="B35" s="610"/>
      <c r="C35" s="611"/>
      <c r="D35" s="256"/>
      <c r="E35" s="609"/>
      <c r="F35" s="610"/>
      <c r="G35" s="611"/>
      <c r="H35" s="125"/>
      <c r="I35" s="702"/>
      <c r="J35" s="703"/>
      <c r="K35" s="704"/>
      <c r="L35" s="159"/>
      <c r="M35" s="159"/>
      <c r="O35" s="702"/>
      <c r="P35" s="703"/>
      <c r="Q35" s="704"/>
      <c r="R35" s="84"/>
      <c r="S35" s="283"/>
    </row>
    <row r="36" spans="1:20" ht="15.75" thickBot="1" x14ac:dyDescent="0.3">
      <c r="A36" s="606" t="s">
        <v>231</v>
      </c>
      <c r="B36" s="612">
        <f>SUM(288.83*24)/19</f>
        <v>364.83789473684209</v>
      </c>
      <c r="C36" s="611">
        <f>SUM(76.04*24)/19</f>
        <v>96.050526315789469</v>
      </c>
      <c r="D36" s="256"/>
      <c r="E36" s="606" t="s">
        <v>231</v>
      </c>
      <c r="F36" s="612">
        <f>SUM(288.83*24)/19</f>
        <v>364.83789473684209</v>
      </c>
      <c r="G36" s="611">
        <f>SUM(76.04*24)/19</f>
        <v>96.050526315789469</v>
      </c>
      <c r="H36" s="15"/>
      <c r="I36" s="705"/>
      <c r="J36" s="706"/>
      <c r="K36" s="707"/>
      <c r="L36" s="112"/>
      <c r="M36" s="112"/>
      <c r="O36" s="705"/>
      <c r="P36" s="706"/>
      <c r="Q36" s="707"/>
      <c r="R36" s="84"/>
    </row>
    <row r="37" spans="1:20" ht="15" customHeight="1" thickBot="1" x14ac:dyDescent="0.3">
      <c r="A37" s="613"/>
      <c r="B37" s="610"/>
      <c r="C37" s="611"/>
      <c r="D37" s="256"/>
      <c r="E37" s="613"/>
      <c r="F37" s="610"/>
      <c r="G37" s="611"/>
      <c r="I37" s="184"/>
      <c r="J37" s="184"/>
      <c r="K37" s="184"/>
      <c r="L37" s="543"/>
      <c r="M37" s="543"/>
      <c r="N37" s="15"/>
      <c r="O37" s="15"/>
      <c r="P37" s="15"/>
      <c r="Q37" s="644"/>
      <c r="R37" s="84"/>
      <c r="T37" s="471"/>
    </row>
    <row r="38" spans="1:20" ht="15.75" thickBot="1" x14ac:dyDescent="0.3">
      <c r="A38" s="606" t="s">
        <v>232</v>
      </c>
      <c r="B38" s="612">
        <f>SUM(248.99*24)/19</f>
        <v>314.51368421052632</v>
      </c>
      <c r="C38" s="611">
        <f>SUM(65.55*24)/19</f>
        <v>82.8</v>
      </c>
      <c r="D38" s="256"/>
      <c r="E38" s="606" t="s">
        <v>232</v>
      </c>
      <c r="F38" s="612">
        <f>SUM(248.99*24)/19</f>
        <v>314.51368421052632</v>
      </c>
      <c r="G38" s="611">
        <f>SUM(65.55*24)/19</f>
        <v>82.8</v>
      </c>
      <c r="I38" s="184"/>
      <c r="J38" s="184"/>
      <c r="K38" s="184"/>
      <c r="L38" s="160"/>
      <c r="M38" s="160"/>
      <c r="N38" s="15"/>
      <c r="O38" s="15"/>
      <c r="P38" s="15"/>
      <c r="Q38" s="15"/>
      <c r="R38" s="84"/>
    </row>
    <row r="39" spans="1:20" ht="19.5" thickBot="1" x14ac:dyDescent="0.35">
      <c r="A39" s="560"/>
      <c r="B39" s="610"/>
      <c r="C39" s="611"/>
      <c r="D39" s="256"/>
      <c r="E39" s="560"/>
      <c r="F39" s="610"/>
      <c r="G39" s="611"/>
      <c r="H39" s="690"/>
      <c r="I39" s="690"/>
      <c r="J39" s="690"/>
      <c r="L39" s="690"/>
      <c r="M39" s="690"/>
      <c r="N39" s="690"/>
      <c r="O39" s="145"/>
      <c r="P39" s="91"/>
      <c r="Q39" s="84"/>
      <c r="R39" s="84"/>
    </row>
    <row r="40" spans="1:20" ht="15.75" thickBot="1" x14ac:dyDescent="0.3">
      <c r="A40" s="606" t="s">
        <v>233</v>
      </c>
      <c r="B40" s="610">
        <f>SUM(205.83*24)/19</f>
        <v>259.99578947368423</v>
      </c>
      <c r="C40" s="611">
        <f>SUM(54.19*24)/19</f>
        <v>68.450526315789475</v>
      </c>
      <c r="D40" s="256"/>
      <c r="E40" s="606" t="s">
        <v>233</v>
      </c>
      <c r="F40" s="610">
        <f>SUM(205.83*24)/19</f>
        <v>259.99578947368423</v>
      </c>
      <c r="G40" s="611">
        <f>SUM(54.19*24)/19</f>
        <v>68.450526315789475</v>
      </c>
      <c r="H40" s="691"/>
      <c r="I40" s="691"/>
      <c r="J40" s="691"/>
      <c r="L40" s="691"/>
      <c r="M40" s="691"/>
      <c r="N40" s="691"/>
      <c r="O40" s="143"/>
      <c r="P40" s="164"/>
      <c r="Q40" s="84"/>
      <c r="R40" s="84"/>
    </row>
    <row r="41" spans="1:20" ht="15.75" thickBot="1" x14ac:dyDescent="0.3">
      <c r="A41" s="609"/>
      <c r="B41" s="610"/>
      <c r="C41" s="611"/>
      <c r="D41" s="256"/>
      <c r="E41" s="609"/>
      <c r="F41" s="610"/>
      <c r="G41" s="611"/>
      <c r="H41" s="692"/>
      <c r="I41" s="692"/>
      <c r="J41" s="692"/>
      <c r="N41" s="628"/>
      <c r="O41" s="143"/>
      <c r="P41" s="156"/>
      <c r="Q41" s="84"/>
      <c r="R41" s="84"/>
      <c r="T41" s="471"/>
    </row>
    <row r="42" spans="1:20" ht="15.75" thickBot="1" x14ac:dyDescent="0.3">
      <c r="A42" s="606" t="s">
        <v>234</v>
      </c>
      <c r="B42" s="614">
        <f>SUM(166*24)/19</f>
        <v>209.68421052631578</v>
      </c>
      <c r="C42" s="615">
        <f>SUM(43.7*24)/19</f>
        <v>55.20000000000001</v>
      </c>
      <c r="D42" s="256"/>
      <c r="E42" s="606" t="s">
        <v>234</v>
      </c>
      <c r="F42" s="614">
        <f>SUM(166*24)/19</f>
        <v>209.68421052631578</v>
      </c>
      <c r="G42" s="615">
        <f>SUM(43.7*24)/19</f>
        <v>55.20000000000001</v>
      </c>
      <c r="H42" s="692"/>
      <c r="I42" s="692"/>
      <c r="J42" s="692"/>
      <c r="N42" s="628"/>
      <c r="O42" s="143"/>
      <c r="P42" s="279"/>
      <c r="Q42" s="84"/>
      <c r="R42" s="84"/>
    </row>
    <row r="43" spans="1:20" ht="15" customHeight="1" x14ac:dyDescent="0.25">
      <c r="B43" s="900"/>
      <c r="C43" s="900"/>
      <c r="D43" s="900"/>
      <c r="E43" s="599"/>
      <c r="F43" s="75"/>
      <c r="G43" s="75"/>
      <c r="H43" s="616"/>
      <c r="I43" s="617"/>
      <c r="J43" s="616"/>
      <c r="N43" s="617"/>
      <c r="O43" s="68"/>
      <c r="P43" s="68"/>
    </row>
    <row r="44" spans="1:20" x14ac:dyDescent="0.25">
      <c r="B44" s="900"/>
      <c r="C44" s="900"/>
      <c r="D44" s="900"/>
      <c r="E44" s="600"/>
      <c r="F44" s="68"/>
      <c r="G44" s="68"/>
      <c r="H44" s="618"/>
      <c r="I44" s="619"/>
      <c r="J44" s="620"/>
      <c r="N44" s="619"/>
      <c r="O44" s="68"/>
      <c r="P44" s="68"/>
    </row>
    <row r="45" spans="1:20" ht="15" customHeight="1" x14ac:dyDescent="0.25">
      <c r="B45" s="900"/>
      <c r="C45" s="900"/>
      <c r="D45" s="900"/>
      <c r="E45" s="603"/>
      <c r="H45" s="605"/>
      <c r="I45" s="605"/>
      <c r="J45" s="605"/>
      <c r="N45" s="605"/>
    </row>
    <row r="46" spans="1:20" x14ac:dyDescent="0.25">
      <c r="B46" s="602"/>
      <c r="C46" s="604"/>
      <c r="D46" s="601"/>
      <c r="E46" s="605"/>
      <c r="H46" s="605"/>
      <c r="I46" s="621"/>
      <c r="J46" s="621"/>
      <c r="N46" s="621"/>
    </row>
    <row r="47" spans="1:20" x14ac:dyDescent="0.25">
      <c r="H47" s="605"/>
      <c r="I47" s="621"/>
      <c r="J47" s="621"/>
      <c r="N47" s="621"/>
    </row>
    <row r="48" spans="1:20" x14ac:dyDescent="0.25">
      <c r="H48" s="605"/>
      <c r="I48" s="621"/>
      <c r="J48" s="621"/>
      <c r="N48" s="621"/>
    </row>
    <row r="49" spans="8:14" x14ac:dyDescent="0.25">
      <c r="H49" s="605"/>
      <c r="I49" s="621"/>
      <c r="J49" s="621"/>
      <c r="N49" s="621"/>
    </row>
    <row r="50" spans="8:14" x14ac:dyDescent="0.25">
      <c r="H50" s="605"/>
      <c r="I50" s="621"/>
      <c r="J50" s="621"/>
      <c r="N50" s="621"/>
    </row>
    <row r="51" spans="8:14" x14ac:dyDescent="0.25">
      <c r="H51" s="605"/>
      <c r="I51" s="621"/>
      <c r="J51" s="621"/>
      <c r="L51" s="605"/>
      <c r="M51" s="621"/>
      <c r="N51" s="621"/>
    </row>
    <row r="52" spans="8:14" x14ac:dyDescent="0.25">
      <c r="H52" s="605"/>
      <c r="I52" s="621"/>
      <c r="J52" s="621"/>
      <c r="L52" s="605"/>
      <c r="M52" s="621"/>
      <c r="N52" s="621"/>
    </row>
    <row r="53" spans="8:14" x14ac:dyDescent="0.25">
      <c r="H53" s="605"/>
      <c r="I53" s="621"/>
      <c r="J53" s="621"/>
      <c r="L53" s="605"/>
      <c r="M53" s="621"/>
      <c r="N53" s="621"/>
    </row>
    <row r="54" spans="8:14" x14ac:dyDescent="0.25">
      <c r="H54" s="605"/>
      <c r="I54" s="621"/>
      <c r="J54" s="621"/>
      <c r="L54" s="605"/>
      <c r="M54" s="621"/>
      <c r="N54" s="621"/>
    </row>
    <row r="55" spans="8:14" x14ac:dyDescent="0.25">
      <c r="H55" s="605"/>
      <c r="I55" s="605"/>
      <c r="J55" s="605"/>
    </row>
    <row r="56" spans="8:14" x14ac:dyDescent="0.25">
      <c r="H56" s="605"/>
      <c r="I56" s="605"/>
      <c r="J56" s="605"/>
    </row>
  </sheetData>
  <mergeCells count="44">
    <mergeCell ref="B43:D45"/>
    <mergeCell ref="A4:E5"/>
    <mergeCell ref="G4:K4"/>
    <mergeCell ref="G5:K5"/>
    <mergeCell ref="C9:D9"/>
    <mergeCell ref="I9:J9"/>
    <mergeCell ref="B8:E8"/>
    <mergeCell ref="H8:K8"/>
    <mergeCell ref="H41:J42"/>
    <mergeCell ref="A27:C27"/>
    <mergeCell ref="A28:C28"/>
    <mergeCell ref="A29:C30"/>
    <mergeCell ref="A31:A32"/>
    <mergeCell ref="E27:G27"/>
    <mergeCell ref="E28:G28"/>
    <mergeCell ref="E29:G30"/>
    <mergeCell ref="B1:P1"/>
    <mergeCell ref="B2:P2"/>
    <mergeCell ref="M4:Q4"/>
    <mergeCell ref="O10:O11"/>
    <mergeCell ref="P10:P11"/>
    <mergeCell ref="C10:C11"/>
    <mergeCell ref="D10:D11"/>
    <mergeCell ref="A7:E7"/>
    <mergeCell ref="G7:K7"/>
    <mergeCell ref="I10:I11"/>
    <mergeCell ref="J10:J11"/>
    <mergeCell ref="M5:Q5"/>
    <mergeCell ref="O9:P9"/>
    <mergeCell ref="N8:Q8"/>
    <mergeCell ref="M7:Q7"/>
    <mergeCell ref="A33:C33"/>
    <mergeCell ref="E33:G33"/>
    <mergeCell ref="O33:Q36"/>
    <mergeCell ref="O27:Q27"/>
    <mergeCell ref="O32:Q32"/>
    <mergeCell ref="I27:K27"/>
    <mergeCell ref="I33:K36"/>
    <mergeCell ref="E31:E32"/>
    <mergeCell ref="H39:J39"/>
    <mergeCell ref="L39:N39"/>
    <mergeCell ref="H40:J40"/>
    <mergeCell ref="L40:N40"/>
    <mergeCell ref="T20:X20"/>
  </mergeCells>
  <pageMargins left="0.74" right="0.14000000000000001" top="0.23" bottom="0.24" header="0.25" footer="0.19"/>
  <pageSetup paperSize="5" scale="87" orientation="landscape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Z43"/>
  <sheetViews>
    <sheetView topLeftCell="A16" workbookViewId="0">
      <selection activeCell="H17" sqref="H17"/>
    </sheetView>
  </sheetViews>
  <sheetFormatPr defaultRowHeight="15" x14ac:dyDescent="0.25"/>
  <cols>
    <col min="1" max="1" width="7.7109375" customWidth="1"/>
    <col min="2" max="2" width="8.85546875" customWidth="1"/>
    <col min="3" max="3" width="10.5703125" customWidth="1"/>
    <col min="4" max="4" width="10.28515625" bestFit="1" customWidth="1"/>
    <col min="5" max="5" width="11.42578125" customWidth="1"/>
    <col min="6" max="6" width="4.85546875" customWidth="1"/>
    <col min="7" max="8" width="8.7109375" customWidth="1"/>
    <col min="9" max="9" width="10.140625" customWidth="1"/>
    <col min="10" max="10" width="10" customWidth="1"/>
    <col min="11" max="11" width="15.28515625" customWidth="1"/>
    <col min="12" max="12" width="4.42578125" style="15" customWidth="1"/>
    <col min="13" max="13" width="9.28515625" customWidth="1"/>
    <col min="14" max="14" width="9.7109375" customWidth="1"/>
    <col min="15" max="15" width="11.28515625" customWidth="1"/>
    <col min="16" max="16" width="11.5703125" customWidth="1"/>
    <col min="17" max="17" width="12.85546875" customWidth="1"/>
  </cols>
  <sheetData>
    <row r="1" spans="1:26" ht="15.75" x14ac:dyDescent="0.25">
      <c r="A1" s="893" t="s">
        <v>209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</row>
    <row r="2" spans="1:26" x14ac:dyDescent="0.25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26" ht="15.75" x14ac:dyDescent="0.25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</row>
    <row r="4" spans="1:26" ht="19.5" customHeight="1" x14ac:dyDescent="0.25">
      <c r="A4" s="928" t="s">
        <v>139</v>
      </c>
      <c r="B4" s="929"/>
      <c r="C4" s="929"/>
      <c r="D4" s="929"/>
      <c r="E4" s="930"/>
      <c r="F4" s="581"/>
      <c r="G4" s="931" t="s">
        <v>136</v>
      </c>
      <c r="H4" s="932"/>
      <c r="I4" s="932"/>
      <c r="J4" s="932"/>
      <c r="K4" s="933"/>
      <c r="L4" s="480"/>
      <c r="M4" s="814" t="s">
        <v>207</v>
      </c>
      <c r="N4" s="815"/>
      <c r="O4" s="815"/>
      <c r="P4" s="815"/>
      <c r="Q4" s="816"/>
      <c r="R4" s="480"/>
      <c r="S4" s="480"/>
      <c r="T4" s="480"/>
      <c r="U4" s="480"/>
      <c r="V4" s="480"/>
      <c r="W4" s="480"/>
      <c r="X4" s="480"/>
      <c r="Y4" s="480"/>
      <c r="Z4" s="480"/>
    </row>
    <row r="5" spans="1:26" ht="19.5" customHeight="1" x14ac:dyDescent="0.25">
      <c r="A5" s="575"/>
      <c r="B5" s="576"/>
      <c r="C5" s="576"/>
      <c r="D5" s="576"/>
      <c r="E5" s="577"/>
      <c r="F5" s="480"/>
      <c r="G5" s="925" t="s">
        <v>147</v>
      </c>
      <c r="H5" s="926"/>
      <c r="I5" s="926"/>
      <c r="J5" s="926"/>
      <c r="K5" s="927"/>
      <c r="L5" s="510"/>
      <c r="M5" s="825" t="s">
        <v>208</v>
      </c>
      <c r="N5" s="826"/>
      <c r="O5" s="826"/>
      <c r="P5" s="826"/>
      <c r="Q5" s="827"/>
      <c r="R5" s="517"/>
      <c r="S5" s="517"/>
      <c r="T5" s="517"/>
      <c r="U5" s="517"/>
      <c r="V5" s="517"/>
      <c r="W5" s="517"/>
      <c r="X5" s="517"/>
      <c r="Y5" s="517"/>
      <c r="Z5" s="517"/>
    </row>
    <row r="6" spans="1:26" ht="19.5" customHeight="1" x14ac:dyDescent="0.25">
      <c r="F6" s="480"/>
      <c r="G6" s="518"/>
      <c r="H6" s="518"/>
      <c r="I6" s="518"/>
      <c r="J6" s="518"/>
      <c r="K6" s="518"/>
      <c r="L6" s="510"/>
      <c r="Q6" s="517"/>
      <c r="R6" s="517"/>
      <c r="S6" s="517"/>
      <c r="T6" s="517"/>
      <c r="U6" s="517"/>
      <c r="V6" s="517"/>
      <c r="W6" s="517"/>
      <c r="X6" s="517"/>
      <c r="Y6" s="517"/>
      <c r="Z6" s="517"/>
    </row>
    <row r="7" spans="1:26" ht="19.5" customHeight="1" x14ac:dyDescent="0.25">
      <c r="F7" s="480"/>
      <c r="G7" s="518"/>
      <c r="H7" s="518"/>
      <c r="I7" s="518"/>
      <c r="J7" s="518"/>
      <c r="K7" s="518"/>
      <c r="L7" s="510"/>
      <c r="Q7" s="517"/>
      <c r="R7" s="517"/>
      <c r="S7" s="517"/>
      <c r="T7" s="517"/>
      <c r="U7" s="517"/>
      <c r="V7" s="517"/>
      <c r="W7" s="517"/>
      <c r="X7" s="517"/>
      <c r="Y7" s="517"/>
      <c r="Z7" s="517"/>
    </row>
    <row r="8" spans="1:26" ht="15.75" thickBot="1" x14ac:dyDescent="0.3">
      <c r="A8" s="68"/>
      <c r="B8" s="68"/>
      <c r="C8" s="68"/>
      <c r="D8" s="68"/>
      <c r="E8" s="68"/>
      <c r="F8" s="68"/>
    </row>
    <row r="9" spans="1:26" x14ac:dyDescent="0.25">
      <c r="A9" s="919" t="s">
        <v>188</v>
      </c>
      <c r="B9" s="920"/>
      <c r="C9" s="920"/>
      <c r="D9" s="920"/>
      <c r="E9" s="921"/>
      <c r="F9" s="87"/>
      <c r="G9" s="922" t="s">
        <v>188</v>
      </c>
      <c r="H9" s="923"/>
      <c r="I9" s="923"/>
      <c r="J9" s="923"/>
      <c r="K9" s="924"/>
      <c r="L9" s="580"/>
      <c r="M9" s="864" t="s">
        <v>188</v>
      </c>
      <c r="N9" s="865"/>
      <c r="O9" s="865"/>
      <c r="P9" s="865"/>
      <c r="Q9" s="866"/>
    </row>
    <row r="10" spans="1:26" x14ac:dyDescent="0.25">
      <c r="A10" s="810"/>
      <c r="B10" s="752"/>
      <c r="C10" s="752"/>
      <c r="D10" s="752"/>
      <c r="E10" s="753"/>
      <c r="F10" s="87"/>
      <c r="G10" s="810"/>
      <c r="H10" s="752"/>
      <c r="I10" s="752"/>
      <c r="J10" s="752"/>
      <c r="K10" s="753"/>
      <c r="L10" s="580"/>
      <c r="M10" s="810"/>
      <c r="N10" s="752"/>
      <c r="O10" s="752"/>
      <c r="P10" s="752"/>
      <c r="Q10" s="753"/>
    </row>
    <row r="11" spans="1:26" x14ac:dyDescent="0.25">
      <c r="A11" s="481"/>
      <c r="B11" s="737" t="s">
        <v>137</v>
      </c>
      <c r="C11" s="738"/>
      <c r="D11" s="139"/>
      <c r="E11" s="482"/>
      <c r="F11" s="87"/>
      <c r="G11" s="481"/>
      <c r="H11" s="737" t="s">
        <v>137</v>
      </c>
      <c r="I11" s="738"/>
      <c r="J11" s="139"/>
      <c r="K11" s="482"/>
      <c r="L11" s="580"/>
      <c r="M11" s="481"/>
      <c r="N11" s="737" t="s">
        <v>137</v>
      </c>
      <c r="O11" s="738"/>
      <c r="P11" s="139"/>
      <c r="Q11" s="482"/>
    </row>
    <row r="12" spans="1:26" x14ac:dyDescent="0.25">
      <c r="A12" s="483"/>
      <c r="B12" s="167" t="s">
        <v>7</v>
      </c>
      <c r="C12" s="167" t="s">
        <v>6</v>
      </c>
      <c r="D12" s="167" t="s">
        <v>25</v>
      </c>
      <c r="E12" s="484" t="s">
        <v>26</v>
      </c>
      <c r="F12" s="87"/>
      <c r="G12" s="483"/>
      <c r="H12" s="167" t="s">
        <v>7</v>
      </c>
      <c r="I12" s="167" t="s">
        <v>6</v>
      </c>
      <c r="J12" s="167" t="s">
        <v>25</v>
      </c>
      <c r="K12" s="484" t="s">
        <v>26</v>
      </c>
      <c r="L12" s="175"/>
      <c r="M12" s="483"/>
      <c r="N12" s="167" t="s">
        <v>7</v>
      </c>
      <c r="O12" s="167" t="s">
        <v>6</v>
      </c>
      <c r="P12" s="167" t="s">
        <v>25</v>
      </c>
      <c r="Q12" s="484" t="s">
        <v>26</v>
      </c>
    </row>
    <row r="13" spans="1:26" x14ac:dyDescent="0.25">
      <c r="A13" s="485"/>
      <c r="B13" s="61"/>
      <c r="C13" s="61"/>
      <c r="D13" s="112"/>
      <c r="E13" s="486"/>
      <c r="F13" s="87"/>
      <c r="G13" s="485"/>
      <c r="H13" s="61"/>
      <c r="I13" s="61"/>
      <c r="J13" s="112"/>
      <c r="K13" s="486"/>
      <c r="L13" s="112"/>
      <c r="M13" s="485"/>
      <c r="N13" s="61"/>
      <c r="O13" s="61"/>
      <c r="P13" s="112"/>
      <c r="Q13" s="486"/>
    </row>
    <row r="14" spans="1:26" x14ac:dyDescent="0.25">
      <c r="A14" s="487" t="s">
        <v>3</v>
      </c>
      <c r="B14" s="566">
        <v>108.92</v>
      </c>
      <c r="C14" s="566">
        <f>SUM(D14/2)-B14</f>
        <v>886.61500000000001</v>
      </c>
      <c r="D14" s="578">
        <f>SUM(E14/12)</f>
        <v>1991.07</v>
      </c>
      <c r="E14" s="548">
        <v>23892.84</v>
      </c>
      <c r="F14" s="87"/>
      <c r="G14" s="487" t="s">
        <v>3</v>
      </c>
      <c r="H14" s="566">
        <v>55.29</v>
      </c>
      <c r="I14" s="566">
        <f>SUM(J14/2)-H14</f>
        <v>782.45500000000004</v>
      </c>
      <c r="J14" s="578">
        <f>SUM(K14/12)</f>
        <v>1675.49</v>
      </c>
      <c r="K14" s="548">
        <v>20105.88</v>
      </c>
      <c r="L14" s="114"/>
      <c r="M14" s="487" t="s">
        <v>3</v>
      </c>
      <c r="N14" s="566">
        <v>0</v>
      </c>
      <c r="O14" s="566">
        <f>SUM(Q14/24)</f>
        <v>768</v>
      </c>
      <c r="P14" s="558">
        <f>SUM(Q14/12)</f>
        <v>1536</v>
      </c>
      <c r="Q14" s="548">
        <v>18432</v>
      </c>
      <c r="R14" s="471"/>
    </row>
    <row r="15" spans="1:26" x14ac:dyDescent="0.25">
      <c r="A15" s="485"/>
      <c r="B15" s="566"/>
      <c r="C15" s="566"/>
      <c r="D15" s="558"/>
      <c r="E15" s="548"/>
      <c r="F15" s="87"/>
      <c r="G15" s="485"/>
      <c r="H15" s="566"/>
      <c r="I15" s="566"/>
      <c r="J15" s="558"/>
      <c r="K15" s="548"/>
      <c r="L15" s="115"/>
      <c r="M15" s="485"/>
      <c r="N15" s="566"/>
      <c r="O15" s="566"/>
      <c r="P15" s="558"/>
      <c r="Q15" s="548"/>
    </row>
    <row r="16" spans="1:26" x14ac:dyDescent="0.25">
      <c r="A16" s="487" t="s">
        <v>2</v>
      </c>
      <c r="B16" s="566">
        <v>41.9</v>
      </c>
      <c r="C16" s="566">
        <f>SUM(D16/2)-B16</f>
        <v>397.18500000000006</v>
      </c>
      <c r="D16" s="578">
        <f>SUM(E16/12)</f>
        <v>878.17000000000007</v>
      </c>
      <c r="E16" s="539">
        <v>10538.04</v>
      </c>
      <c r="F16" s="87"/>
      <c r="G16" s="487" t="s">
        <v>2</v>
      </c>
      <c r="H16" s="566">
        <v>24.38</v>
      </c>
      <c r="I16" s="566">
        <f>SUM(J16/2)-H16</f>
        <v>345.11</v>
      </c>
      <c r="J16" s="578">
        <f>SUM(K16/12)</f>
        <v>738.98</v>
      </c>
      <c r="K16" s="539">
        <v>8867.76</v>
      </c>
      <c r="L16" s="117"/>
      <c r="M16" s="487" t="s">
        <v>2</v>
      </c>
      <c r="N16" s="566">
        <v>0</v>
      </c>
      <c r="O16" s="566">
        <f>SUM(Q16/24)</f>
        <v>338.73</v>
      </c>
      <c r="P16" s="558">
        <f>SUM(Q16/12)</f>
        <v>677.46</v>
      </c>
      <c r="Q16" s="539">
        <v>8129.52</v>
      </c>
      <c r="R16" s="471"/>
    </row>
    <row r="17" spans="1:21" x14ac:dyDescent="0.25">
      <c r="A17" s="489"/>
      <c r="B17" s="149"/>
      <c r="C17" s="149"/>
      <c r="D17" s="150"/>
      <c r="E17" s="490"/>
      <c r="F17" s="87"/>
      <c r="G17" s="489"/>
      <c r="H17" s="149"/>
      <c r="I17" s="149"/>
      <c r="J17" s="150"/>
      <c r="K17" s="490"/>
      <c r="L17" s="156"/>
      <c r="M17" s="489"/>
      <c r="N17" s="149"/>
      <c r="O17" s="149"/>
      <c r="P17" s="150"/>
      <c r="Q17" s="490"/>
    </row>
    <row r="18" spans="1:21" x14ac:dyDescent="0.25">
      <c r="A18" s="485"/>
      <c r="B18" s="61"/>
      <c r="C18" s="61"/>
      <c r="D18" s="117"/>
      <c r="E18" s="491"/>
      <c r="F18" s="87"/>
      <c r="G18" s="485"/>
      <c r="H18" s="61"/>
      <c r="I18" s="61"/>
      <c r="J18" s="117"/>
      <c r="K18" s="491"/>
      <c r="L18" s="156"/>
      <c r="M18" s="485"/>
      <c r="N18" s="61"/>
      <c r="O18" s="61"/>
      <c r="P18" s="117"/>
      <c r="Q18" s="491"/>
    </row>
    <row r="19" spans="1:21" x14ac:dyDescent="0.25">
      <c r="A19" s="485"/>
      <c r="B19" s="61"/>
      <c r="C19" s="61"/>
      <c r="D19" s="117"/>
      <c r="E19" s="491"/>
      <c r="F19" s="87"/>
      <c r="G19" s="485"/>
      <c r="H19" s="61"/>
      <c r="I19" s="61"/>
      <c r="J19" s="117"/>
      <c r="K19" s="491"/>
      <c r="L19" s="156"/>
      <c r="M19" s="485"/>
      <c r="N19" s="61"/>
      <c r="O19" s="61"/>
      <c r="P19" s="117"/>
      <c r="Q19" s="491"/>
      <c r="R19" s="95"/>
    </row>
    <row r="20" spans="1:21" x14ac:dyDescent="0.25">
      <c r="A20" s="828" t="s">
        <v>122</v>
      </c>
      <c r="B20" s="829"/>
      <c r="C20" s="829"/>
      <c r="D20" s="829"/>
      <c r="E20" s="830"/>
      <c r="F20" s="87"/>
      <c r="G20" s="828" t="s">
        <v>122</v>
      </c>
      <c r="H20" s="829"/>
      <c r="I20" s="829"/>
      <c r="J20" s="829"/>
      <c r="K20" s="830"/>
      <c r="L20" s="164"/>
      <c r="M20" s="828" t="s">
        <v>122</v>
      </c>
      <c r="N20" s="829"/>
      <c r="O20" s="829"/>
      <c r="P20" s="829"/>
      <c r="Q20" s="830"/>
    </row>
    <row r="21" spans="1:21" x14ac:dyDescent="0.25">
      <c r="A21" s="492"/>
      <c r="B21" s="61"/>
      <c r="C21" s="61"/>
      <c r="D21" s="121"/>
      <c r="E21" s="493"/>
      <c r="F21" s="110"/>
      <c r="G21" s="492"/>
      <c r="H21" s="61"/>
      <c r="I21" s="61"/>
      <c r="J21" s="121"/>
      <c r="K21" s="493"/>
      <c r="L21" s="157"/>
      <c r="M21" s="492"/>
      <c r="N21" s="61"/>
      <c r="O21" s="61"/>
      <c r="P21" s="121"/>
      <c r="Q21" s="493"/>
    </row>
    <row r="22" spans="1:21" ht="15" customHeight="1" x14ac:dyDescent="0.25">
      <c r="A22" s="702" t="s">
        <v>138</v>
      </c>
      <c r="B22" s="703"/>
      <c r="C22" s="703"/>
      <c r="D22" s="703"/>
      <c r="E22" s="704"/>
      <c r="F22" s="92"/>
      <c r="G22" s="702" t="s">
        <v>138</v>
      </c>
      <c r="H22" s="703"/>
      <c r="I22" s="703"/>
      <c r="J22" s="703"/>
      <c r="K22" s="704"/>
      <c r="L22" s="117"/>
      <c r="M22" s="702" t="s">
        <v>138</v>
      </c>
      <c r="N22" s="703"/>
      <c r="O22" s="703"/>
      <c r="P22" s="703"/>
      <c r="Q22" s="704"/>
      <c r="R22" s="84"/>
    </row>
    <row r="23" spans="1:21" ht="15.75" thickBot="1" x14ac:dyDescent="0.3">
      <c r="A23" s="494"/>
      <c r="B23" s="495"/>
      <c r="C23" s="495"/>
      <c r="D23" s="495"/>
      <c r="E23" s="496"/>
      <c r="F23" s="92"/>
      <c r="G23" s="497"/>
      <c r="H23" s="186"/>
      <c r="I23" s="186"/>
      <c r="J23" s="186"/>
      <c r="K23" s="498"/>
      <c r="L23" s="156"/>
      <c r="M23" s="497"/>
      <c r="N23" s="186"/>
      <c r="O23" s="186"/>
      <c r="P23" s="186"/>
      <c r="Q23" s="498"/>
      <c r="R23" s="84"/>
    </row>
    <row r="24" spans="1:21" x14ac:dyDescent="0.25">
      <c r="A24" s="184"/>
      <c r="B24" s="184"/>
      <c r="C24" s="184"/>
      <c r="D24" s="184"/>
      <c r="E24" s="184"/>
      <c r="F24" s="108"/>
      <c r="G24" s="499"/>
      <c r="H24" s="184"/>
      <c r="I24" s="184"/>
      <c r="J24" s="184"/>
      <c r="K24" s="500"/>
      <c r="L24" s="158"/>
      <c r="M24" s="499"/>
      <c r="N24" s="184"/>
      <c r="O24" s="184"/>
      <c r="P24" s="184"/>
      <c r="Q24" s="500"/>
      <c r="R24" s="84"/>
    </row>
    <row r="25" spans="1:21" ht="15.75" x14ac:dyDescent="0.25">
      <c r="A25" s="882" t="s">
        <v>120</v>
      </c>
      <c r="B25" s="883"/>
      <c r="C25" s="883"/>
      <c r="D25" s="884"/>
      <c r="E25" s="157"/>
      <c r="F25" s="110"/>
      <c r="G25" s="501"/>
      <c r="H25" s="143"/>
      <c r="I25" s="143"/>
      <c r="J25" s="125"/>
      <c r="K25" s="491"/>
      <c r="L25" s="157"/>
      <c r="M25" s="501"/>
      <c r="N25" s="143"/>
      <c r="O25" s="143"/>
      <c r="P25" s="125"/>
      <c r="Q25" s="491"/>
      <c r="R25" s="84"/>
    </row>
    <row r="26" spans="1:21" x14ac:dyDescent="0.25">
      <c r="A26" s="798" t="s">
        <v>135</v>
      </c>
      <c r="B26" s="799"/>
      <c r="C26" s="799"/>
      <c r="D26" s="800"/>
      <c r="E26" s="156"/>
      <c r="F26" s="92"/>
      <c r="G26" s="502"/>
      <c r="H26" s="143"/>
      <c r="I26" s="143"/>
      <c r="J26" s="125"/>
      <c r="K26" s="491"/>
      <c r="L26" s="156"/>
      <c r="M26" s="502"/>
      <c r="N26" s="143"/>
      <c r="O26" s="143"/>
      <c r="P26" s="125"/>
      <c r="Q26" s="491"/>
      <c r="R26" s="84"/>
      <c r="S26" s="283"/>
      <c r="U26" s="471"/>
    </row>
    <row r="27" spans="1:21" ht="15.75" customHeight="1" x14ac:dyDescent="0.25">
      <c r="A27" s="798"/>
      <c r="B27" s="799"/>
      <c r="C27" s="799"/>
      <c r="D27" s="800"/>
      <c r="E27" s="194"/>
      <c r="F27" s="92"/>
      <c r="G27" s="828" t="s">
        <v>144</v>
      </c>
      <c r="H27" s="829"/>
      <c r="I27" s="829"/>
      <c r="J27" s="829"/>
      <c r="K27" s="830"/>
      <c r="L27" s="156"/>
      <c r="M27" s="828" t="s">
        <v>144</v>
      </c>
      <c r="N27" s="829"/>
      <c r="O27" s="829"/>
      <c r="P27" s="829"/>
      <c r="Q27" s="830"/>
      <c r="R27" s="84"/>
    </row>
    <row r="28" spans="1:21" ht="15.75" customHeight="1" thickBot="1" x14ac:dyDescent="0.3">
      <c r="A28" s="801"/>
      <c r="B28" s="802"/>
      <c r="C28" s="802"/>
      <c r="D28" s="803"/>
      <c r="E28" s="159"/>
      <c r="F28" s="108"/>
      <c r="G28" s="503"/>
      <c r="H28" s="145"/>
      <c r="I28" s="579" t="s">
        <v>202</v>
      </c>
      <c r="J28" s="91"/>
      <c r="K28" s="540" t="s">
        <v>5</v>
      </c>
      <c r="L28" s="159"/>
      <c r="M28" s="503"/>
      <c r="N28" s="145"/>
      <c r="O28" s="579" t="s">
        <v>202</v>
      </c>
      <c r="P28" s="91"/>
      <c r="Q28" s="540" t="s">
        <v>5</v>
      </c>
      <c r="R28" s="84"/>
    </row>
    <row r="29" spans="1:21" ht="15.75" thickBot="1" x14ac:dyDescent="0.3">
      <c r="A29" s="69"/>
      <c r="B29" s="109"/>
      <c r="C29" s="109"/>
      <c r="E29" s="112"/>
      <c r="F29" s="110"/>
      <c r="G29" s="487" t="s">
        <v>3</v>
      </c>
      <c r="H29" s="145"/>
      <c r="I29" s="566">
        <v>2500</v>
      </c>
      <c r="J29" s="556"/>
      <c r="K29" s="538">
        <f>I29/24</f>
        <v>104.16666666666667</v>
      </c>
      <c r="L29" s="112"/>
      <c r="M29" s="487" t="s">
        <v>3</v>
      </c>
      <c r="N29" s="145"/>
      <c r="O29" s="566">
        <v>2846.89</v>
      </c>
      <c r="P29" s="556"/>
      <c r="Q29" s="538">
        <f>O29/24</f>
        <v>118.62041666666666</v>
      </c>
      <c r="R29" s="84"/>
    </row>
    <row r="30" spans="1:21" x14ac:dyDescent="0.25">
      <c r="A30" s="916" t="s">
        <v>188</v>
      </c>
      <c r="B30" s="917"/>
      <c r="C30" s="917"/>
      <c r="D30" s="918"/>
      <c r="E30" s="156"/>
      <c r="F30" s="110"/>
      <c r="G30" s="505"/>
      <c r="H30" s="579"/>
      <c r="I30" s="567"/>
      <c r="J30" s="556"/>
      <c r="K30" s="539"/>
      <c r="L30" s="156"/>
      <c r="M30" s="505"/>
      <c r="N30" s="579"/>
      <c r="O30" s="567"/>
      <c r="P30" s="556"/>
      <c r="Q30" s="539"/>
      <c r="R30" s="84"/>
      <c r="S30" s="283"/>
      <c r="U30" s="471"/>
    </row>
    <row r="31" spans="1:21" x14ac:dyDescent="0.25">
      <c r="A31" s="877" t="s">
        <v>123</v>
      </c>
      <c r="B31" s="787"/>
      <c r="C31" s="787"/>
      <c r="D31" s="878"/>
      <c r="E31" s="156"/>
      <c r="F31" s="92"/>
      <c r="G31" s="487" t="s">
        <v>2</v>
      </c>
      <c r="H31" s="143"/>
      <c r="I31" s="566">
        <v>1250</v>
      </c>
      <c r="J31" s="556"/>
      <c r="K31" s="539">
        <v>52.09</v>
      </c>
      <c r="L31" s="156"/>
      <c r="M31" s="487" t="s">
        <v>2</v>
      </c>
      <c r="N31" s="143"/>
      <c r="O31" s="566">
        <v>1402.97</v>
      </c>
      <c r="P31" s="556"/>
      <c r="Q31" s="539">
        <f>O31/24</f>
        <v>58.457083333333337</v>
      </c>
      <c r="R31" s="84"/>
    </row>
    <row r="32" spans="1:21" x14ac:dyDescent="0.25">
      <c r="A32" s="485"/>
      <c r="B32" s="61"/>
      <c r="C32" s="112" t="s">
        <v>0</v>
      </c>
      <c r="D32" s="486" t="s">
        <v>1</v>
      </c>
      <c r="E32" s="159"/>
      <c r="F32" s="108"/>
      <c r="G32" s="503"/>
      <c r="H32" s="145"/>
      <c r="I32" s="173"/>
      <c r="J32" s="125"/>
      <c r="K32" s="504"/>
      <c r="L32" s="159"/>
      <c r="M32" s="503"/>
      <c r="N32" s="145"/>
      <c r="O32" s="173"/>
      <c r="P32" s="125"/>
      <c r="Q32" s="504"/>
      <c r="R32" s="84"/>
    </row>
    <row r="33" spans="1:21" x14ac:dyDescent="0.25">
      <c r="A33" s="485"/>
      <c r="B33" s="61"/>
      <c r="C33" s="178">
        <v>40360</v>
      </c>
      <c r="D33" s="511">
        <v>40360</v>
      </c>
      <c r="E33" s="112"/>
      <c r="F33" s="110"/>
      <c r="G33" s="822" t="s">
        <v>203</v>
      </c>
      <c r="H33" s="823"/>
      <c r="I33" s="823"/>
      <c r="J33" s="823"/>
      <c r="K33" s="824"/>
      <c r="L33" s="112"/>
      <c r="M33" s="822" t="s">
        <v>203</v>
      </c>
      <c r="N33" s="823"/>
      <c r="O33" s="823"/>
      <c r="P33" s="823"/>
      <c r="Q33" s="824"/>
      <c r="R33" s="84"/>
    </row>
    <row r="34" spans="1:21" ht="15" customHeight="1" x14ac:dyDescent="0.25">
      <c r="A34" s="485"/>
      <c r="B34" s="61"/>
      <c r="C34" s="115"/>
      <c r="D34" s="512"/>
      <c r="E34" s="160"/>
      <c r="F34" s="92"/>
      <c r="G34" s="822" t="s">
        <v>204</v>
      </c>
      <c r="H34" s="823"/>
      <c r="I34" s="823"/>
      <c r="J34" s="823"/>
      <c r="K34" s="824"/>
      <c r="L34" s="543"/>
      <c r="M34" s="822" t="s">
        <v>204</v>
      </c>
      <c r="N34" s="823"/>
      <c r="O34" s="823"/>
      <c r="P34" s="823"/>
      <c r="Q34" s="824"/>
      <c r="R34" s="84"/>
      <c r="S34" s="283"/>
      <c r="U34" s="471"/>
    </row>
    <row r="35" spans="1:21" ht="15.75" thickBot="1" x14ac:dyDescent="0.3">
      <c r="A35" s="485" t="s">
        <v>213</v>
      </c>
      <c r="B35" s="61"/>
      <c r="C35" s="546">
        <v>663.98</v>
      </c>
      <c r="D35" s="539">
        <f>(349.6*12)/12</f>
        <v>349.60000000000008</v>
      </c>
      <c r="E35" s="160"/>
      <c r="F35" s="92"/>
      <c r="G35" s="506"/>
      <c r="H35" s="507"/>
      <c r="I35" s="507"/>
      <c r="J35" s="508"/>
      <c r="K35" s="509"/>
      <c r="L35" s="160"/>
      <c r="M35" s="506"/>
      <c r="N35" s="507"/>
      <c r="O35" s="507"/>
      <c r="P35" s="508"/>
      <c r="Q35" s="509"/>
      <c r="R35" s="84"/>
    </row>
    <row r="36" spans="1:21" x14ac:dyDescent="0.25">
      <c r="A36" s="485" t="s">
        <v>5</v>
      </c>
      <c r="B36" s="61"/>
      <c r="C36" s="547">
        <f>C35/2</f>
        <v>331.99</v>
      </c>
      <c r="D36" s="539">
        <f>D35/2</f>
        <v>174.80000000000004</v>
      </c>
      <c r="E36" s="161"/>
      <c r="F36" s="108"/>
      <c r="G36" s="124"/>
      <c r="H36" s="143"/>
      <c r="I36" s="143"/>
      <c r="J36" s="125"/>
      <c r="K36" s="156"/>
      <c r="L36" s="161"/>
      <c r="M36" s="125"/>
      <c r="N36" s="145"/>
      <c r="O36" s="91"/>
      <c r="P36" s="161"/>
      <c r="Q36" s="84"/>
      <c r="R36" s="84"/>
    </row>
    <row r="37" spans="1:21" x14ac:dyDescent="0.25">
      <c r="A37" s="485"/>
      <c r="B37" s="61"/>
      <c r="C37" s="117"/>
      <c r="D37" s="491"/>
      <c r="E37" s="112"/>
      <c r="F37" s="110"/>
      <c r="G37" s="124"/>
      <c r="H37" s="143"/>
      <c r="I37" s="143"/>
      <c r="J37" s="125"/>
      <c r="K37" s="156"/>
      <c r="L37" s="112"/>
      <c r="M37" s="189"/>
      <c r="N37" s="143"/>
      <c r="O37" s="164"/>
      <c r="P37" s="164"/>
      <c r="Q37" s="84"/>
      <c r="R37" s="84"/>
    </row>
    <row r="38" spans="1:21" x14ac:dyDescent="0.25">
      <c r="A38" s="913" t="s">
        <v>122</v>
      </c>
      <c r="B38" s="914"/>
      <c r="C38" s="914"/>
      <c r="D38" s="915"/>
      <c r="E38" s="156"/>
      <c r="F38" s="92"/>
      <c r="G38" s="15"/>
      <c r="H38" s="15"/>
      <c r="I38" s="15"/>
      <c r="J38" s="15"/>
      <c r="K38" s="15"/>
      <c r="L38" s="156"/>
      <c r="M38" s="91"/>
      <c r="N38" s="143"/>
      <c r="O38" s="156"/>
      <c r="P38" s="156"/>
      <c r="Q38" s="84"/>
      <c r="R38" s="84"/>
      <c r="S38" s="283"/>
      <c r="U38" s="471"/>
    </row>
    <row r="39" spans="1:21" x14ac:dyDescent="0.25">
      <c r="A39" s="492"/>
      <c r="B39" s="61"/>
      <c r="C39" s="121"/>
      <c r="D39" s="493"/>
      <c r="E39" s="156"/>
      <c r="F39" s="92"/>
      <c r="L39" s="156"/>
      <c r="M39" s="91"/>
      <c r="N39" s="143"/>
      <c r="O39" s="279"/>
      <c r="P39" s="156"/>
      <c r="Q39" s="84"/>
      <c r="R39" s="84"/>
    </row>
    <row r="40" spans="1:21" x14ac:dyDescent="0.25">
      <c r="A40" s="771" t="s">
        <v>134</v>
      </c>
      <c r="B40" s="772"/>
      <c r="C40" s="772"/>
      <c r="D40" s="773"/>
      <c r="E40" s="156"/>
      <c r="F40" s="75"/>
      <c r="M40" s="69"/>
      <c r="N40" s="68"/>
      <c r="O40" s="68"/>
    </row>
    <row r="41" spans="1:21" x14ac:dyDescent="0.25">
      <c r="A41" s="771"/>
      <c r="B41" s="772"/>
      <c r="C41" s="772"/>
      <c r="D41" s="773"/>
      <c r="E41" s="70"/>
      <c r="F41" s="68"/>
      <c r="M41" s="69"/>
      <c r="N41" s="68"/>
      <c r="O41" s="68"/>
    </row>
    <row r="42" spans="1:21" ht="15" customHeight="1" x14ac:dyDescent="0.25">
      <c r="A42" s="771"/>
      <c r="B42" s="772"/>
      <c r="C42" s="772"/>
      <c r="D42" s="773"/>
      <c r="E42" s="63"/>
      <c r="M42" s="62"/>
    </row>
    <row r="43" spans="1:21" ht="15.75" thickBot="1" x14ac:dyDescent="0.3">
      <c r="A43" s="513"/>
      <c r="B43" s="514"/>
      <c r="C43" s="515"/>
      <c r="D43" s="516"/>
    </row>
  </sheetData>
  <mergeCells count="34">
    <mergeCell ref="G5:K5"/>
    <mergeCell ref="M5:Q5"/>
    <mergeCell ref="A1:P1"/>
    <mergeCell ref="A2:P2"/>
    <mergeCell ref="A4:E4"/>
    <mergeCell ref="G4:K4"/>
    <mergeCell ref="M4:Q4"/>
    <mergeCell ref="A9:E9"/>
    <mergeCell ref="G9:K9"/>
    <mergeCell ref="M9:Q9"/>
    <mergeCell ref="A10:E10"/>
    <mergeCell ref="G10:K10"/>
    <mergeCell ref="M10:Q10"/>
    <mergeCell ref="B11:C11"/>
    <mergeCell ref="H11:I11"/>
    <mergeCell ref="N11:O11"/>
    <mergeCell ref="A20:E20"/>
    <mergeCell ref="G20:K20"/>
    <mergeCell ref="M20:Q20"/>
    <mergeCell ref="M33:Q33"/>
    <mergeCell ref="G34:K34"/>
    <mergeCell ref="M34:Q34"/>
    <mergeCell ref="A22:E22"/>
    <mergeCell ref="G22:K22"/>
    <mergeCell ref="M22:Q22"/>
    <mergeCell ref="A25:D25"/>
    <mergeCell ref="A26:D28"/>
    <mergeCell ref="G27:K27"/>
    <mergeCell ref="M27:Q27"/>
    <mergeCell ref="A38:D38"/>
    <mergeCell ref="A40:D42"/>
    <mergeCell ref="A30:D30"/>
    <mergeCell ref="A31:D31"/>
    <mergeCell ref="G33:K33"/>
  </mergeCells>
  <pageMargins left="0.74" right="0.14000000000000001" top="0.23" bottom="0.24" header="0.25" footer="0.19"/>
  <pageSetup paperSize="5" scale="88" orientation="landscape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  <pageSetUpPr fitToPage="1"/>
  </sheetPr>
  <dimension ref="A1:Z43"/>
  <sheetViews>
    <sheetView topLeftCell="A4" workbookViewId="0">
      <selection activeCell="H17" sqref="H17"/>
    </sheetView>
  </sheetViews>
  <sheetFormatPr defaultRowHeight="15" x14ac:dyDescent="0.25"/>
  <cols>
    <col min="1" max="1" width="7.7109375" customWidth="1"/>
    <col min="2" max="2" width="8.85546875" customWidth="1"/>
    <col min="3" max="3" width="10.5703125" customWidth="1"/>
    <col min="4" max="4" width="10.28515625" bestFit="1" customWidth="1"/>
    <col min="5" max="5" width="11.42578125" customWidth="1"/>
    <col min="6" max="6" width="4.85546875" customWidth="1"/>
    <col min="7" max="8" width="8.7109375" customWidth="1"/>
    <col min="9" max="9" width="10.140625" customWidth="1"/>
    <col min="10" max="10" width="10" customWidth="1"/>
    <col min="11" max="11" width="15.28515625" customWidth="1"/>
    <col min="12" max="12" width="4.42578125" style="15" customWidth="1"/>
    <col min="13" max="13" width="9.28515625" customWidth="1"/>
    <col min="14" max="14" width="9.7109375" customWidth="1"/>
    <col min="15" max="15" width="11.28515625" customWidth="1"/>
    <col min="16" max="16" width="11.5703125" customWidth="1"/>
    <col min="17" max="17" width="12.85546875" customWidth="1"/>
  </cols>
  <sheetData>
    <row r="1" spans="1:26" ht="15.75" x14ac:dyDescent="0.25">
      <c r="A1" s="893" t="s">
        <v>212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</row>
    <row r="2" spans="1:26" x14ac:dyDescent="0.25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26" ht="15.75" x14ac:dyDescent="0.25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4" spans="1:26" ht="19.5" customHeight="1" x14ac:dyDescent="0.25">
      <c r="A4" s="928" t="s">
        <v>139</v>
      </c>
      <c r="B4" s="929"/>
      <c r="C4" s="929"/>
      <c r="D4" s="929"/>
      <c r="E4" s="930"/>
      <c r="F4" s="478"/>
      <c r="G4" s="931" t="s">
        <v>136</v>
      </c>
      <c r="H4" s="932"/>
      <c r="I4" s="932"/>
      <c r="J4" s="932"/>
      <c r="K4" s="933"/>
      <c r="L4" s="480"/>
      <c r="M4" s="887" t="s">
        <v>207</v>
      </c>
      <c r="N4" s="888"/>
      <c r="O4" s="888"/>
      <c r="P4" s="888"/>
      <c r="Q4" s="889"/>
      <c r="R4" s="480"/>
      <c r="S4" s="480"/>
      <c r="T4" s="480"/>
      <c r="U4" s="480"/>
      <c r="V4" s="480"/>
      <c r="W4" s="480"/>
      <c r="X4" s="480"/>
      <c r="Y4" s="480"/>
      <c r="Z4" s="480"/>
    </row>
    <row r="5" spans="1:26" ht="19.5" customHeight="1" x14ac:dyDescent="0.25">
      <c r="A5" s="575"/>
      <c r="B5" s="576"/>
      <c r="C5" s="576"/>
      <c r="D5" s="576"/>
      <c r="E5" s="577"/>
      <c r="F5" s="480"/>
      <c r="G5" s="925" t="s">
        <v>147</v>
      </c>
      <c r="H5" s="926"/>
      <c r="I5" s="926"/>
      <c r="J5" s="926"/>
      <c r="K5" s="927"/>
      <c r="L5" s="510"/>
      <c r="M5" s="879" t="s">
        <v>208</v>
      </c>
      <c r="N5" s="880"/>
      <c r="O5" s="880"/>
      <c r="P5" s="880"/>
      <c r="Q5" s="881"/>
      <c r="R5" s="517"/>
      <c r="S5" s="517"/>
      <c r="T5" s="517"/>
      <c r="U5" s="517"/>
      <c r="V5" s="517"/>
      <c r="W5" s="517"/>
      <c r="X5" s="517"/>
      <c r="Y5" s="517"/>
      <c r="Z5" s="517"/>
    </row>
    <row r="6" spans="1:26" ht="19.5" customHeight="1" x14ac:dyDescent="0.25">
      <c r="F6" s="480"/>
      <c r="G6" s="518"/>
      <c r="H6" s="518"/>
      <c r="I6" s="518"/>
      <c r="J6" s="518"/>
      <c r="K6" s="518"/>
      <c r="L6" s="510"/>
      <c r="Q6" s="517"/>
      <c r="R6" s="517"/>
      <c r="S6" s="517"/>
      <c r="T6" s="517"/>
      <c r="U6" s="517"/>
      <c r="V6" s="517"/>
      <c r="W6" s="517"/>
      <c r="X6" s="517"/>
      <c r="Y6" s="517"/>
      <c r="Z6" s="517"/>
    </row>
    <row r="7" spans="1:26" ht="19.5" customHeight="1" x14ac:dyDescent="0.25">
      <c r="F7" s="480"/>
      <c r="G7" s="518"/>
      <c r="H7" s="518"/>
      <c r="I7" s="518"/>
      <c r="J7" s="518"/>
      <c r="K7" s="518"/>
      <c r="L7" s="510"/>
      <c r="Q7" s="517"/>
      <c r="R7" s="517"/>
      <c r="S7" s="517"/>
      <c r="T7" s="517"/>
      <c r="U7" s="517"/>
      <c r="V7" s="517"/>
      <c r="W7" s="517"/>
      <c r="X7" s="517"/>
      <c r="Y7" s="517"/>
      <c r="Z7" s="517"/>
    </row>
    <row r="8" spans="1:26" ht="15.75" thickBot="1" x14ac:dyDescent="0.3">
      <c r="A8" s="68"/>
      <c r="B8" s="68"/>
      <c r="C8" s="68"/>
      <c r="D8" s="68"/>
      <c r="E8" s="68"/>
      <c r="F8" s="68"/>
    </row>
    <row r="9" spans="1:26" x14ac:dyDescent="0.25">
      <c r="A9" s="919" t="s">
        <v>200</v>
      </c>
      <c r="B9" s="920"/>
      <c r="C9" s="920"/>
      <c r="D9" s="920"/>
      <c r="E9" s="921"/>
      <c r="F9" s="87"/>
      <c r="G9" s="922" t="s">
        <v>200</v>
      </c>
      <c r="H9" s="923"/>
      <c r="I9" s="923"/>
      <c r="J9" s="923"/>
      <c r="K9" s="924"/>
      <c r="L9" s="477"/>
      <c r="M9" s="934" t="s">
        <v>200</v>
      </c>
      <c r="N9" s="935"/>
      <c r="O9" s="935"/>
      <c r="P9" s="935"/>
      <c r="Q9" s="936"/>
    </row>
    <row r="10" spans="1:26" x14ac:dyDescent="0.25">
      <c r="A10" s="810"/>
      <c r="B10" s="752"/>
      <c r="C10" s="752"/>
      <c r="D10" s="752"/>
      <c r="E10" s="753"/>
      <c r="F10" s="87"/>
      <c r="G10" s="810"/>
      <c r="H10" s="752"/>
      <c r="I10" s="752"/>
      <c r="J10" s="752"/>
      <c r="K10" s="753"/>
      <c r="L10" s="477"/>
      <c r="M10" s="810"/>
      <c r="N10" s="752"/>
      <c r="O10" s="752"/>
      <c r="P10" s="752"/>
      <c r="Q10" s="753"/>
    </row>
    <row r="11" spans="1:26" x14ac:dyDescent="0.25">
      <c r="A11" s="481"/>
      <c r="B11" s="737" t="s">
        <v>201</v>
      </c>
      <c r="C11" s="738"/>
      <c r="D11" s="139"/>
      <c r="E11" s="482"/>
      <c r="F11" s="87"/>
      <c r="G11" s="481"/>
      <c r="H11" s="737" t="s">
        <v>201</v>
      </c>
      <c r="I11" s="738"/>
      <c r="J11" s="139"/>
      <c r="K11" s="482"/>
      <c r="L11" s="477"/>
      <c r="M11" s="481"/>
      <c r="N11" s="737" t="s">
        <v>201</v>
      </c>
      <c r="O11" s="738"/>
      <c r="P11" s="139"/>
      <c r="Q11" s="482"/>
    </row>
    <row r="12" spans="1:26" x14ac:dyDescent="0.25">
      <c r="A12" s="483"/>
      <c r="B12" s="167" t="s">
        <v>7</v>
      </c>
      <c r="C12" s="167" t="s">
        <v>6</v>
      </c>
      <c r="D12" s="167" t="s">
        <v>25</v>
      </c>
      <c r="E12" s="484" t="s">
        <v>26</v>
      </c>
      <c r="F12" s="87"/>
      <c r="G12" s="483"/>
      <c r="H12" s="167" t="s">
        <v>7</v>
      </c>
      <c r="I12" s="167" t="s">
        <v>6</v>
      </c>
      <c r="J12" s="167" t="s">
        <v>25</v>
      </c>
      <c r="K12" s="484" t="s">
        <v>26</v>
      </c>
      <c r="L12" s="175"/>
      <c r="M12" s="483"/>
      <c r="N12" s="167" t="s">
        <v>7</v>
      </c>
      <c r="O12" s="167" t="s">
        <v>6</v>
      </c>
      <c r="P12" s="167" t="s">
        <v>25</v>
      </c>
      <c r="Q12" s="484" t="s">
        <v>26</v>
      </c>
    </row>
    <row r="13" spans="1:26" x14ac:dyDescent="0.25">
      <c r="A13" s="485"/>
      <c r="B13" s="61"/>
      <c r="C13" s="61"/>
      <c r="D13" s="112"/>
      <c r="E13" s="486"/>
      <c r="F13" s="87"/>
      <c r="G13" s="485"/>
      <c r="H13" s="61"/>
      <c r="I13" s="61"/>
      <c r="J13" s="112"/>
      <c r="K13" s="486"/>
      <c r="L13" s="112"/>
      <c r="M13" s="485"/>
      <c r="N13" s="61"/>
      <c r="O13" s="61"/>
      <c r="P13" s="112"/>
      <c r="Q13" s="486"/>
    </row>
    <row r="14" spans="1:26" x14ac:dyDescent="0.25">
      <c r="A14" s="487" t="s">
        <v>3</v>
      </c>
      <c r="B14" s="566">
        <v>130.69999999999999</v>
      </c>
      <c r="C14" s="566">
        <f>SUM(D14/2)-B14</f>
        <v>1063.942</v>
      </c>
      <c r="D14" s="578">
        <f>SUM(E14/10)</f>
        <v>2389.2840000000001</v>
      </c>
      <c r="E14" s="548">
        <v>23892.84</v>
      </c>
      <c r="F14" s="87"/>
      <c r="G14" s="487" t="s">
        <v>3</v>
      </c>
      <c r="H14" s="566">
        <v>66.349999999999994</v>
      </c>
      <c r="I14" s="566">
        <f>SUM(J14/2)-H14</f>
        <v>938.94400000000007</v>
      </c>
      <c r="J14" s="578">
        <f>SUM(K14/10)</f>
        <v>2010.5880000000002</v>
      </c>
      <c r="K14" s="548">
        <v>20105.88</v>
      </c>
      <c r="L14" s="114"/>
      <c r="M14" s="487" t="s">
        <v>3</v>
      </c>
      <c r="N14" s="566">
        <v>0</v>
      </c>
      <c r="O14" s="566">
        <f>SUM(Q14/20)</f>
        <v>921.6</v>
      </c>
      <c r="P14" s="558">
        <f>SUM(Q14/10)</f>
        <v>1843.2</v>
      </c>
      <c r="Q14" s="548">
        <v>18432</v>
      </c>
      <c r="R14" s="471"/>
    </row>
    <row r="15" spans="1:26" x14ac:dyDescent="0.25">
      <c r="A15" s="485"/>
      <c r="B15" s="566"/>
      <c r="C15" s="566"/>
      <c r="D15" s="558"/>
      <c r="E15" s="548"/>
      <c r="F15" s="87"/>
      <c r="G15" s="485"/>
      <c r="H15" s="566"/>
      <c r="I15" s="566"/>
      <c r="J15" s="558"/>
      <c r="K15" s="548"/>
      <c r="L15" s="115"/>
      <c r="M15" s="485"/>
      <c r="N15" s="566"/>
      <c r="O15" s="566"/>
      <c r="P15" s="558"/>
      <c r="Q15" s="548"/>
    </row>
    <row r="16" spans="1:26" x14ac:dyDescent="0.25">
      <c r="A16" s="487" t="s">
        <v>2</v>
      </c>
      <c r="B16" s="566">
        <v>50.28</v>
      </c>
      <c r="C16" s="566">
        <f>SUM(D16/2)-B16</f>
        <v>476.62200000000007</v>
      </c>
      <c r="D16" s="578">
        <f>SUM(E16/10)</f>
        <v>1053.8040000000001</v>
      </c>
      <c r="E16" s="539">
        <v>10538.04</v>
      </c>
      <c r="F16" s="87"/>
      <c r="G16" s="487" t="s">
        <v>2</v>
      </c>
      <c r="H16" s="566">
        <v>29.26</v>
      </c>
      <c r="I16" s="566">
        <f>SUM(J16/2)-H16</f>
        <v>414.12800000000004</v>
      </c>
      <c r="J16" s="578">
        <f>SUM(K16/10)</f>
        <v>886.77600000000007</v>
      </c>
      <c r="K16" s="539">
        <v>8867.76</v>
      </c>
      <c r="L16" s="117"/>
      <c r="M16" s="487" t="s">
        <v>2</v>
      </c>
      <c r="N16" s="566">
        <v>0</v>
      </c>
      <c r="O16" s="566">
        <f>SUM(Q16/20)</f>
        <v>406.476</v>
      </c>
      <c r="P16" s="558">
        <f>SUM(Q16/10)</f>
        <v>812.952</v>
      </c>
      <c r="Q16" s="539">
        <v>8129.52</v>
      </c>
      <c r="R16" s="471"/>
    </row>
    <row r="17" spans="1:21" x14ac:dyDescent="0.25">
      <c r="A17" s="489"/>
      <c r="B17" s="149"/>
      <c r="C17" s="149"/>
      <c r="D17" s="150"/>
      <c r="E17" s="490"/>
      <c r="F17" s="87"/>
      <c r="G17" s="489"/>
      <c r="H17" s="149"/>
      <c r="I17" s="149"/>
      <c r="J17" s="150"/>
      <c r="K17" s="490"/>
      <c r="L17" s="156"/>
      <c r="M17" s="489"/>
      <c r="N17" s="149"/>
      <c r="O17" s="149"/>
      <c r="P17" s="150"/>
      <c r="Q17" s="490"/>
    </row>
    <row r="18" spans="1:21" x14ac:dyDescent="0.25">
      <c r="A18" s="485"/>
      <c r="B18" s="61"/>
      <c r="C18" s="61"/>
      <c r="D18" s="117"/>
      <c r="E18" s="491"/>
      <c r="F18" s="87"/>
      <c r="G18" s="485"/>
      <c r="H18" s="61"/>
      <c r="I18" s="61"/>
      <c r="J18" s="117"/>
      <c r="K18" s="491"/>
      <c r="L18" s="156"/>
      <c r="M18" s="485"/>
      <c r="N18" s="61"/>
      <c r="O18" s="61"/>
      <c r="P18" s="117"/>
      <c r="Q18" s="491"/>
    </row>
    <row r="19" spans="1:21" x14ac:dyDescent="0.25">
      <c r="A19" s="485"/>
      <c r="B19" s="61"/>
      <c r="C19" s="61"/>
      <c r="D19" s="117"/>
      <c r="E19" s="491"/>
      <c r="F19" s="87"/>
      <c r="G19" s="485"/>
      <c r="H19" s="61"/>
      <c r="I19" s="61"/>
      <c r="J19" s="117"/>
      <c r="K19" s="491"/>
      <c r="L19" s="156"/>
      <c r="M19" s="485"/>
      <c r="N19" s="61"/>
      <c r="O19" s="61"/>
      <c r="P19" s="117"/>
      <c r="Q19" s="491"/>
      <c r="R19" s="95"/>
    </row>
    <row r="20" spans="1:21" x14ac:dyDescent="0.25">
      <c r="A20" s="828" t="s">
        <v>122</v>
      </c>
      <c r="B20" s="829"/>
      <c r="C20" s="829"/>
      <c r="D20" s="829"/>
      <c r="E20" s="830"/>
      <c r="F20" s="87"/>
      <c r="G20" s="828" t="s">
        <v>122</v>
      </c>
      <c r="H20" s="829"/>
      <c r="I20" s="829"/>
      <c r="J20" s="829"/>
      <c r="K20" s="830"/>
      <c r="L20" s="164"/>
      <c r="M20" s="828" t="s">
        <v>122</v>
      </c>
      <c r="N20" s="829"/>
      <c r="O20" s="829"/>
      <c r="P20" s="829"/>
      <c r="Q20" s="830"/>
    </row>
    <row r="21" spans="1:21" x14ac:dyDescent="0.25">
      <c r="A21" s="492"/>
      <c r="B21" s="61"/>
      <c r="C21" s="61"/>
      <c r="D21" s="121"/>
      <c r="E21" s="493"/>
      <c r="F21" s="110"/>
      <c r="G21" s="492"/>
      <c r="H21" s="61"/>
      <c r="I21" s="61"/>
      <c r="J21" s="121"/>
      <c r="K21" s="493"/>
      <c r="L21" s="157"/>
      <c r="M21" s="492"/>
      <c r="N21" s="61"/>
      <c r="O21" s="61"/>
      <c r="P21" s="121"/>
      <c r="Q21" s="493"/>
    </row>
    <row r="22" spans="1:21" ht="15" customHeight="1" x14ac:dyDescent="0.25">
      <c r="A22" s="702" t="s">
        <v>138</v>
      </c>
      <c r="B22" s="703"/>
      <c r="C22" s="703"/>
      <c r="D22" s="703"/>
      <c r="E22" s="704"/>
      <c r="F22" s="92"/>
      <c r="G22" s="702" t="s">
        <v>138</v>
      </c>
      <c r="H22" s="703"/>
      <c r="I22" s="703"/>
      <c r="J22" s="703"/>
      <c r="K22" s="704"/>
      <c r="L22" s="117"/>
      <c r="M22" s="702" t="s">
        <v>138</v>
      </c>
      <c r="N22" s="703"/>
      <c r="O22" s="703"/>
      <c r="P22" s="703"/>
      <c r="Q22" s="704"/>
      <c r="R22" s="84"/>
    </row>
    <row r="23" spans="1:21" ht="15.75" thickBot="1" x14ac:dyDescent="0.3">
      <c r="A23" s="494"/>
      <c r="B23" s="495"/>
      <c r="C23" s="495"/>
      <c r="D23" s="495"/>
      <c r="E23" s="496"/>
      <c r="F23" s="92"/>
      <c r="G23" s="497"/>
      <c r="H23" s="186"/>
      <c r="I23" s="186"/>
      <c r="J23" s="186"/>
      <c r="K23" s="498"/>
      <c r="L23" s="156"/>
      <c r="M23" s="497"/>
      <c r="N23" s="186"/>
      <c r="O23" s="186"/>
      <c r="P23" s="186"/>
      <c r="Q23" s="498"/>
      <c r="R23" s="84"/>
    </row>
    <row r="24" spans="1:21" x14ac:dyDescent="0.25">
      <c r="A24" s="184"/>
      <c r="B24" s="184"/>
      <c r="C24" s="184"/>
      <c r="D24" s="184"/>
      <c r="E24" s="184"/>
      <c r="F24" s="108"/>
      <c r="G24" s="499"/>
      <c r="H24" s="184"/>
      <c r="I24" s="184"/>
      <c r="J24" s="184"/>
      <c r="K24" s="500"/>
      <c r="L24" s="158"/>
      <c r="M24" s="499"/>
      <c r="N24" s="184"/>
      <c r="O24" s="184"/>
      <c r="P24" s="184"/>
      <c r="Q24" s="500"/>
      <c r="R24" s="84"/>
    </row>
    <row r="25" spans="1:21" ht="15.75" x14ac:dyDescent="0.25">
      <c r="A25" s="882" t="s">
        <v>120</v>
      </c>
      <c r="B25" s="883"/>
      <c r="C25" s="883"/>
      <c r="D25" s="884"/>
      <c r="E25" s="157"/>
      <c r="F25" s="110"/>
      <c r="G25" s="501"/>
      <c r="H25" s="143"/>
      <c r="I25" s="143"/>
      <c r="J25" s="125"/>
      <c r="K25" s="491"/>
      <c r="L25" s="157"/>
      <c r="M25" s="501"/>
      <c r="N25" s="143"/>
      <c r="O25" s="143"/>
      <c r="P25" s="125"/>
      <c r="Q25" s="491"/>
      <c r="R25" s="84"/>
    </row>
    <row r="26" spans="1:21" x14ac:dyDescent="0.25">
      <c r="A26" s="798" t="s">
        <v>135</v>
      </c>
      <c r="B26" s="799"/>
      <c r="C26" s="799"/>
      <c r="D26" s="800"/>
      <c r="E26" s="156"/>
      <c r="F26" s="92"/>
      <c r="G26" s="502"/>
      <c r="H26" s="143"/>
      <c r="I26" s="143"/>
      <c r="J26" s="125"/>
      <c r="K26" s="491"/>
      <c r="L26" s="156"/>
      <c r="M26" s="502"/>
      <c r="N26" s="143"/>
      <c r="O26" s="143"/>
      <c r="P26" s="125"/>
      <c r="Q26" s="491"/>
      <c r="R26" s="84"/>
      <c r="S26" s="283"/>
      <c r="U26" s="471"/>
    </row>
    <row r="27" spans="1:21" ht="15.75" customHeight="1" x14ac:dyDescent="0.25">
      <c r="A27" s="798"/>
      <c r="B27" s="799"/>
      <c r="C27" s="799"/>
      <c r="D27" s="800"/>
      <c r="E27" s="194"/>
      <c r="F27" s="92"/>
      <c r="G27" s="828" t="s">
        <v>144</v>
      </c>
      <c r="H27" s="829"/>
      <c r="I27" s="829"/>
      <c r="J27" s="829"/>
      <c r="K27" s="830"/>
      <c r="L27" s="156"/>
      <c r="M27" s="828" t="s">
        <v>144</v>
      </c>
      <c r="N27" s="829"/>
      <c r="O27" s="829"/>
      <c r="P27" s="829"/>
      <c r="Q27" s="830"/>
      <c r="R27" s="84"/>
    </row>
    <row r="28" spans="1:21" ht="15.75" customHeight="1" thickBot="1" x14ac:dyDescent="0.3">
      <c r="A28" s="801"/>
      <c r="B28" s="802"/>
      <c r="C28" s="802"/>
      <c r="D28" s="803"/>
      <c r="E28" s="159"/>
      <c r="F28" s="108"/>
      <c r="G28" s="503"/>
      <c r="H28" s="145"/>
      <c r="I28" s="476" t="s">
        <v>202</v>
      </c>
      <c r="J28" s="91"/>
      <c r="K28" s="540" t="s">
        <v>5</v>
      </c>
      <c r="L28" s="159"/>
      <c r="M28" s="503"/>
      <c r="N28" s="145"/>
      <c r="O28" s="574" t="s">
        <v>202</v>
      </c>
      <c r="P28" s="91"/>
      <c r="Q28" s="540" t="s">
        <v>5</v>
      </c>
      <c r="R28" s="84"/>
    </row>
    <row r="29" spans="1:21" ht="15.75" thickBot="1" x14ac:dyDescent="0.3">
      <c r="A29" s="69"/>
      <c r="B29" s="109"/>
      <c r="C29" s="109"/>
      <c r="E29" s="112"/>
      <c r="F29" s="110"/>
      <c r="G29" s="487" t="s">
        <v>3</v>
      </c>
      <c r="H29" s="145"/>
      <c r="I29" s="566">
        <v>2500</v>
      </c>
      <c r="J29" s="556"/>
      <c r="K29" s="538">
        <f>I29/20</f>
        <v>125</v>
      </c>
      <c r="L29" s="112"/>
      <c r="M29" s="487" t="s">
        <v>3</v>
      </c>
      <c r="N29" s="145"/>
      <c r="O29" s="566">
        <v>2846.89</v>
      </c>
      <c r="P29" s="556"/>
      <c r="Q29" s="538">
        <f>O29/20</f>
        <v>142.34449999999998</v>
      </c>
      <c r="R29" s="84"/>
    </row>
    <row r="30" spans="1:21" x14ac:dyDescent="0.25">
      <c r="A30" s="916" t="s">
        <v>200</v>
      </c>
      <c r="B30" s="917"/>
      <c r="C30" s="917"/>
      <c r="D30" s="918"/>
      <c r="E30" s="156"/>
      <c r="F30" s="110"/>
      <c r="G30" s="505"/>
      <c r="H30" s="476"/>
      <c r="I30" s="567"/>
      <c r="J30" s="556"/>
      <c r="K30" s="539"/>
      <c r="L30" s="156"/>
      <c r="M30" s="505"/>
      <c r="N30" s="574"/>
      <c r="O30" s="567"/>
      <c r="P30" s="556"/>
      <c r="Q30" s="539"/>
      <c r="R30" s="84"/>
      <c r="S30" s="283"/>
      <c r="U30" s="471"/>
    </row>
    <row r="31" spans="1:21" x14ac:dyDescent="0.25">
      <c r="A31" s="877" t="s">
        <v>123</v>
      </c>
      <c r="B31" s="787"/>
      <c r="C31" s="787"/>
      <c r="D31" s="878"/>
      <c r="E31" s="156"/>
      <c r="F31" s="92"/>
      <c r="G31" s="487" t="s">
        <v>2</v>
      </c>
      <c r="H31" s="143"/>
      <c r="I31" s="566">
        <v>1250</v>
      </c>
      <c r="J31" s="556"/>
      <c r="K31" s="539">
        <f>I31/20</f>
        <v>62.5</v>
      </c>
      <c r="L31" s="156"/>
      <c r="M31" s="487" t="s">
        <v>2</v>
      </c>
      <c r="N31" s="143"/>
      <c r="O31" s="566">
        <v>1402.97</v>
      </c>
      <c r="P31" s="556"/>
      <c r="Q31" s="539">
        <f>O31/20</f>
        <v>70.148499999999999</v>
      </c>
      <c r="R31" s="84"/>
    </row>
    <row r="32" spans="1:21" x14ac:dyDescent="0.25">
      <c r="A32" s="485"/>
      <c r="B32" s="61"/>
      <c r="C32" s="112" t="s">
        <v>0</v>
      </c>
      <c r="D32" s="486" t="s">
        <v>1</v>
      </c>
      <c r="E32" s="159"/>
      <c r="F32" s="108"/>
      <c r="G32" s="503"/>
      <c r="H32" s="145"/>
      <c r="I32" s="173"/>
      <c r="J32" s="125"/>
      <c r="K32" s="504"/>
      <c r="L32" s="159"/>
      <c r="M32" s="503"/>
      <c r="N32" s="145"/>
      <c r="O32" s="173"/>
      <c r="P32" s="125"/>
      <c r="Q32" s="504"/>
      <c r="R32" s="84"/>
    </row>
    <row r="33" spans="1:21" x14ac:dyDescent="0.25">
      <c r="A33" s="485"/>
      <c r="B33" s="61"/>
      <c r="C33" s="178">
        <v>40360</v>
      </c>
      <c r="D33" s="511">
        <v>40360</v>
      </c>
      <c r="E33" s="112"/>
      <c r="F33" s="110"/>
      <c r="G33" s="822" t="s">
        <v>203</v>
      </c>
      <c r="H33" s="823"/>
      <c r="I33" s="823"/>
      <c r="J33" s="823"/>
      <c r="K33" s="824"/>
      <c r="L33" s="112"/>
      <c r="M33" s="822" t="s">
        <v>203</v>
      </c>
      <c r="N33" s="823"/>
      <c r="O33" s="823"/>
      <c r="P33" s="823"/>
      <c r="Q33" s="824"/>
      <c r="R33" s="84"/>
    </row>
    <row r="34" spans="1:21" ht="15" customHeight="1" x14ac:dyDescent="0.25">
      <c r="A34" s="485"/>
      <c r="B34" s="61"/>
      <c r="C34" s="115"/>
      <c r="D34" s="512"/>
      <c r="E34" s="160"/>
      <c r="F34" s="92"/>
      <c r="G34" s="822" t="s">
        <v>204</v>
      </c>
      <c r="H34" s="823"/>
      <c r="I34" s="823"/>
      <c r="J34" s="823"/>
      <c r="K34" s="824"/>
      <c r="L34" s="543"/>
      <c r="M34" s="822" t="s">
        <v>204</v>
      </c>
      <c r="N34" s="823"/>
      <c r="O34" s="823"/>
      <c r="P34" s="823"/>
      <c r="Q34" s="824"/>
      <c r="R34" s="84"/>
      <c r="S34" s="283"/>
      <c r="U34" s="471"/>
    </row>
    <row r="35" spans="1:21" ht="15.75" thickBot="1" x14ac:dyDescent="0.3">
      <c r="A35" s="485" t="s">
        <v>205</v>
      </c>
      <c r="B35" s="61"/>
      <c r="C35" s="546">
        <f>(663.98*12)/10</f>
        <v>796.77600000000007</v>
      </c>
      <c r="D35" s="539">
        <f>(349.6*12)/10</f>
        <v>419.5200000000001</v>
      </c>
      <c r="E35" s="160"/>
      <c r="F35" s="92"/>
      <c r="G35" s="506"/>
      <c r="H35" s="507"/>
      <c r="I35" s="507"/>
      <c r="J35" s="508"/>
      <c r="K35" s="509"/>
      <c r="L35" s="160"/>
      <c r="M35" s="506"/>
      <c r="N35" s="507"/>
      <c r="O35" s="507"/>
      <c r="P35" s="508"/>
      <c r="Q35" s="509"/>
      <c r="R35" s="84"/>
    </row>
    <row r="36" spans="1:21" x14ac:dyDescent="0.25">
      <c r="A36" s="485" t="s">
        <v>5</v>
      </c>
      <c r="B36" s="61"/>
      <c r="C36" s="547">
        <f>C35/2</f>
        <v>398.38800000000003</v>
      </c>
      <c r="D36" s="539">
        <f>D35/2</f>
        <v>209.76000000000005</v>
      </c>
      <c r="E36" s="161"/>
      <c r="F36" s="108"/>
      <c r="G36" s="124"/>
      <c r="H36" s="143"/>
      <c r="I36" s="143"/>
      <c r="J36" s="125"/>
      <c r="K36" s="156"/>
      <c r="L36" s="161"/>
      <c r="M36" s="125"/>
      <c r="N36" s="145"/>
      <c r="O36" s="91"/>
      <c r="P36" s="161"/>
      <c r="Q36" s="84"/>
      <c r="R36" s="84"/>
    </row>
    <row r="37" spans="1:21" x14ac:dyDescent="0.25">
      <c r="A37" s="485"/>
      <c r="B37" s="61"/>
      <c r="C37" s="117"/>
      <c r="D37" s="491"/>
      <c r="E37" s="112"/>
      <c r="F37" s="110"/>
      <c r="G37" s="124"/>
      <c r="H37" s="143"/>
      <c r="I37" s="143"/>
      <c r="J37" s="125"/>
      <c r="K37" s="156"/>
      <c r="L37" s="112"/>
      <c r="M37" s="189"/>
      <c r="N37" s="143"/>
      <c r="O37" s="164"/>
      <c r="P37" s="164"/>
      <c r="Q37" s="84"/>
      <c r="R37" s="84"/>
    </row>
    <row r="38" spans="1:21" x14ac:dyDescent="0.25">
      <c r="A38" s="913" t="s">
        <v>122</v>
      </c>
      <c r="B38" s="914"/>
      <c r="C38" s="914"/>
      <c r="D38" s="915"/>
      <c r="E38" s="156"/>
      <c r="F38" s="92"/>
      <c r="G38" s="15"/>
      <c r="H38" s="15"/>
      <c r="I38" s="15"/>
      <c r="J38" s="15"/>
      <c r="K38" s="15"/>
      <c r="L38" s="156"/>
      <c r="M38" s="91"/>
      <c r="N38" s="143"/>
      <c r="O38" s="156"/>
      <c r="P38" s="156"/>
      <c r="Q38" s="84"/>
      <c r="R38" s="84"/>
      <c r="S38" s="283"/>
      <c r="U38" s="471"/>
    </row>
    <row r="39" spans="1:21" x14ac:dyDescent="0.25">
      <c r="A39" s="492"/>
      <c r="B39" s="61"/>
      <c r="C39" s="121"/>
      <c r="D39" s="493"/>
      <c r="E39" s="156"/>
      <c r="F39" s="92"/>
      <c r="L39" s="156"/>
      <c r="M39" s="91"/>
      <c r="N39" s="143"/>
      <c r="O39" s="279"/>
      <c r="P39" s="156"/>
      <c r="Q39" s="84"/>
      <c r="R39" s="84"/>
    </row>
    <row r="40" spans="1:21" x14ac:dyDescent="0.25">
      <c r="A40" s="771" t="s">
        <v>134</v>
      </c>
      <c r="B40" s="772"/>
      <c r="C40" s="772"/>
      <c r="D40" s="773"/>
      <c r="E40" s="156"/>
      <c r="F40" s="75"/>
      <c r="M40" s="69"/>
      <c r="N40" s="68"/>
      <c r="O40" s="68"/>
    </row>
    <row r="41" spans="1:21" x14ac:dyDescent="0.25">
      <c r="A41" s="771"/>
      <c r="B41" s="772"/>
      <c r="C41" s="772"/>
      <c r="D41" s="773"/>
      <c r="E41" s="70"/>
      <c r="F41" s="68"/>
      <c r="M41" s="69"/>
      <c r="N41" s="68"/>
      <c r="O41" s="68"/>
    </row>
    <row r="42" spans="1:21" ht="15" customHeight="1" x14ac:dyDescent="0.25">
      <c r="A42" s="771"/>
      <c r="B42" s="772"/>
      <c r="C42" s="772"/>
      <c r="D42" s="773"/>
      <c r="E42" s="63"/>
      <c r="M42" s="62"/>
    </row>
    <row r="43" spans="1:21" ht="15.75" thickBot="1" x14ac:dyDescent="0.3">
      <c r="A43" s="513"/>
      <c r="B43" s="514"/>
      <c r="C43" s="515"/>
      <c r="D43" s="516"/>
    </row>
  </sheetData>
  <mergeCells count="34">
    <mergeCell ref="G5:K5"/>
    <mergeCell ref="A1:P1"/>
    <mergeCell ref="A2:P2"/>
    <mergeCell ref="A4:E4"/>
    <mergeCell ref="G4:K4"/>
    <mergeCell ref="M4:Q4"/>
    <mergeCell ref="M5:Q5"/>
    <mergeCell ref="A9:E9"/>
    <mergeCell ref="G9:K9"/>
    <mergeCell ref="A30:D30"/>
    <mergeCell ref="A10:E10"/>
    <mergeCell ref="G10:K10"/>
    <mergeCell ref="A25:D25"/>
    <mergeCell ref="A26:D28"/>
    <mergeCell ref="B11:C11"/>
    <mergeCell ref="H11:I11"/>
    <mergeCell ref="A20:E20"/>
    <mergeCell ref="G20:K20"/>
    <mergeCell ref="A38:D38"/>
    <mergeCell ref="A31:D31"/>
    <mergeCell ref="A40:D42"/>
    <mergeCell ref="M9:Q9"/>
    <mergeCell ref="M10:Q10"/>
    <mergeCell ref="N11:O11"/>
    <mergeCell ref="M20:Q20"/>
    <mergeCell ref="M22:Q22"/>
    <mergeCell ref="M27:Q27"/>
    <mergeCell ref="M33:Q33"/>
    <mergeCell ref="M34:Q34"/>
    <mergeCell ref="G34:K34"/>
    <mergeCell ref="A22:E22"/>
    <mergeCell ref="G22:K22"/>
    <mergeCell ref="G27:K27"/>
    <mergeCell ref="G33:K33"/>
  </mergeCells>
  <pageMargins left="0.74" right="0.14000000000000001" top="0.23" bottom="0.24" header="0.25" footer="0.19"/>
  <pageSetup paperSize="5" scale="88" orientation="landscape" r:id="rId1"/>
  <headerFooter alignWithMargins="0"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I171"/>
  <sheetViews>
    <sheetView topLeftCell="E22" zoomScaleNormal="100" workbookViewId="0">
      <selection activeCell="K30" sqref="K30"/>
    </sheetView>
  </sheetViews>
  <sheetFormatPr defaultRowHeight="15" x14ac:dyDescent="0.25"/>
  <cols>
    <col min="1" max="1" width="6.7109375" customWidth="1"/>
    <col min="2" max="2" width="7.7109375" customWidth="1"/>
    <col min="3" max="4" width="9.28515625" customWidth="1"/>
    <col min="5" max="5" width="10.7109375" customWidth="1"/>
    <col min="6" max="6" width="2.42578125" customWidth="1"/>
    <col min="7" max="7" width="6" customWidth="1"/>
    <col min="8" max="8" width="7.5703125" customWidth="1"/>
    <col min="9" max="9" width="9.140625" bestFit="1" customWidth="1"/>
    <col min="10" max="10" width="9.140625" customWidth="1"/>
    <col min="11" max="11" width="11.28515625" customWidth="1"/>
    <col min="12" max="12" width="2.5703125" customWidth="1"/>
    <col min="13" max="13" width="6.7109375" customWidth="1"/>
    <col min="14" max="16" width="10.28515625" customWidth="1"/>
    <col min="17" max="17" width="2.140625" customWidth="1"/>
    <col min="18" max="18" width="9" customWidth="1"/>
    <col min="19" max="19" width="8.140625" customWidth="1"/>
    <col min="20" max="20" width="8.85546875" customWidth="1"/>
    <col min="21" max="21" width="9" customWidth="1"/>
    <col min="22" max="22" width="11.140625" customWidth="1"/>
    <col min="23" max="23" width="1.85546875" customWidth="1"/>
    <col min="24" max="24" width="6.7109375" customWidth="1"/>
    <col min="25" max="27" width="10.28515625" customWidth="1"/>
    <col min="35" max="35" width="14.140625" customWidth="1"/>
  </cols>
  <sheetData>
    <row r="1" spans="1:32" ht="22.5" customHeight="1" x14ac:dyDescent="0.25">
      <c r="A1" s="893" t="s">
        <v>209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216"/>
      <c r="AC1" s="216"/>
      <c r="AD1" s="216"/>
      <c r="AE1" s="216"/>
      <c r="AF1" s="216"/>
    </row>
    <row r="2" spans="1:32" x14ac:dyDescent="0.2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AB2" s="216"/>
      <c r="AC2" s="216"/>
      <c r="AD2" s="216"/>
      <c r="AE2" s="216"/>
      <c r="AF2" s="216"/>
    </row>
    <row r="3" spans="1:32" ht="16.5" thickBot="1" x14ac:dyDescent="0.3">
      <c r="A3" s="937" t="s">
        <v>139</v>
      </c>
      <c r="B3" s="937"/>
      <c r="C3" s="937"/>
      <c r="D3" s="937"/>
      <c r="E3" s="937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542"/>
      <c r="S3" s="542"/>
      <c r="T3" s="542"/>
      <c r="U3" s="542"/>
      <c r="AB3" s="216"/>
      <c r="AC3" s="216"/>
      <c r="AD3" s="216"/>
      <c r="AE3" s="216"/>
      <c r="AF3" s="216"/>
    </row>
    <row r="4" spans="1:32" ht="19.5" customHeight="1" x14ac:dyDescent="0.25">
      <c r="A4" s="534" t="s">
        <v>187</v>
      </c>
      <c r="B4" s="535"/>
      <c r="C4" s="535"/>
      <c r="D4" s="535"/>
      <c r="E4" s="536"/>
      <c r="F4" s="473"/>
      <c r="G4" s="907" t="s">
        <v>136</v>
      </c>
      <c r="H4" s="908"/>
      <c r="I4" s="908"/>
      <c r="J4" s="908"/>
      <c r="K4" s="908"/>
      <c r="L4" s="908"/>
      <c r="M4" s="908"/>
      <c r="N4" s="908"/>
      <c r="O4" s="908"/>
      <c r="P4" s="909"/>
      <c r="Q4" s="472"/>
      <c r="R4" s="759" t="s">
        <v>207</v>
      </c>
      <c r="S4" s="760"/>
      <c r="T4" s="760"/>
      <c r="U4" s="760"/>
      <c r="V4" s="760"/>
      <c r="W4" s="760"/>
      <c r="X4" s="760"/>
      <c r="Y4" s="760"/>
      <c r="Z4" s="760"/>
      <c r="AA4" s="761"/>
      <c r="AB4" s="216"/>
      <c r="AC4" s="216"/>
      <c r="AD4" s="216"/>
      <c r="AE4" s="216"/>
      <c r="AF4" s="216"/>
    </row>
    <row r="5" spans="1:32" ht="19.5" customHeight="1" thickBot="1" x14ac:dyDescent="0.3">
      <c r="A5" s="544"/>
      <c r="B5" s="545"/>
      <c r="C5" s="545"/>
      <c r="D5" s="545"/>
      <c r="E5" s="537"/>
      <c r="F5" s="480"/>
      <c r="G5" s="910" t="s">
        <v>147</v>
      </c>
      <c r="H5" s="911"/>
      <c r="I5" s="911"/>
      <c r="J5" s="911"/>
      <c r="K5" s="911"/>
      <c r="L5" s="911"/>
      <c r="M5" s="911"/>
      <c r="N5" s="911"/>
      <c r="O5" s="911"/>
      <c r="P5" s="912"/>
      <c r="Q5" s="473"/>
      <c r="R5" s="765" t="s">
        <v>208</v>
      </c>
      <c r="S5" s="766"/>
      <c r="T5" s="766"/>
      <c r="U5" s="766"/>
      <c r="V5" s="766"/>
      <c r="W5" s="766"/>
      <c r="X5" s="766"/>
      <c r="Y5" s="766"/>
      <c r="Z5" s="766"/>
      <c r="AA5" s="767"/>
      <c r="AB5" s="216"/>
      <c r="AC5" s="216"/>
      <c r="AD5" s="216"/>
      <c r="AE5" s="216"/>
      <c r="AF5" s="216"/>
    </row>
    <row r="6" spans="1:32" ht="19.5" customHeight="1" thickBot="1" x14ac:dyDescent="0.3">
      <c r="A6" s="481"/>
      <c r="B6" s="938" t="s">
        <v>137</v>
      </c>
      <c r="C6" s="939"/>
      <c r="D6" s="139"/>
      <c r="E6" s="482"/>
      <c r="F6" s="68"/>
      <c r="Q6" s="518"/>
      <c r="R6" s="518"/>
      <c r="S6" s="518"/>
      <c r="T6" s="518"/>
      <c r="U6" s="518"/>
      <c r="AB6" s="141"/>
    </row>
    <row r="7" spans="1:32" ht="19.5" customHeight="1" x14ac:dyDescent="0.25">
      <c r="A7" s="483"/>
      <c r="B7" s="167" t="s">
        <v>7</v>
      </c>
      <c r="C7" s="167" t="s">
        <v>6</v>
      </c>
      <c r="D7" s="167" t="s">
        <v>25</v>
      </c>
      <c r="E7" s="484" t="s">
        <v>26</v>
      </c>
      <c r="F7" s="87"/>
      <c r="G7" s="940" t="s">
        <v>187</v>
      </c>
      <c r="H7" s="941"/>
      <c r="I7" s="941"/>
      <c r="J7" s="941"/>
      <c r="K7" s="942"/>
      <c r="L7" s="474"/>
      <c r="M7" s="922" t="s">
        <v>196</v>
      </c>
      <c r="N7" s="923"/>
      <c r="O7" s="923"/>
      <c r="P7" s="924"/>
      <c r="Q7" s="518"/>
      <c r="R7" s="861" t="s">
        <v>187</v>
      </c>
      <c r="S7" s="862"/>
      <c r="T7" s="862"/>
      <c r="U7" s="862"/>
      <c r="V7" s="863"/>
      <c r="X7" s="864" t="s">
        <v>196</v>
      </c>
      <c r="Y7" s="865"/>
      <c r="Z7" s="865"/>
      <c r="AA7" s="866"/>
    </row>
    <row r="8" spans="1:32" x14ac:dyDescent="0.25">
      <c r="A8" s="485"/>
      <c r="B8" s="61"/>
      <c r="C8" s="61"/>
      <c r="D8" s="112"/>
      <c r="E8" s="486"/>
      <c r="F8" s="87"/>
      <c r="G8" s="867"/>
      <c r="H8" s="868"/>
      <c r="I8" s="868"/>
      <c r="J8" s="868"/>
      <c r="K8" s="869"/>
      <c r="L8" s="474"/>
      <c r="M8" s="870"/>
      <c r="N8" s="871"/>
      <c r="O8" s="871"/>
      <c r="P8" s="872"/>
      <c r="R8" s="867"/>
      <c r="S8" s="868"/>
      <c r="T8" s="868"/>
      <c r="U8" s="868"/>
      <c r="V8" s="869"/>
      <c r="X8" s="870"/>
      <c r="Y8" s="871"/>
      <c r="Z8" s="871"/>
      <c r="AA8" s="872"/>
    </row>
    <row r="9" spans="1:32" x14ac:dyDescent="0.25">
      <c r="A9" s="487" t="s">
        <v>3</v>
      </c>
      <c r="B9" s="95">
        <f>SUM(217.83/2)</f>
        <v>108.91500000000001</v>
      </c>
      <c r="C9" s="95">
        <f>SUM(D9/2)-B9</f>
        <v>886.62</v>
      </c>
      <c r="D9" s="569">
        <f>SUM(E9/12)</f>
        <v>1991.07</v>
      </c>
      <c r="E9" s="488">
        <v>23892.84</v>
      </c>
      <c r="F9" s="87"/>
      <c r="G9" s="481"/>
      <c r="H9" s="737" t="s">
        <v>137</v>
      </c>
      <c r="I9" s="738"/>
      <c r="J9" s="139"/>
      <c r="K9" s="482"/>
      <c r="L9" s="139"/>
      <c r="M9" s="483"/>
      <c r="N9" s="15"/>
      <c r="O9" s="167" t="s">
        <v>25</v>
      </c>
      <c r="P9" s="484" t="s">
        <v>26</v>
      </c>
      <c r="Q9" s="474"/>
      <c r="R9" s="481"/>
      <c r="S9" s="737" t="s">
        <v>137</v>
      </c>
      <c r="T9" s="738"/>
      <c r="U9" s="139"/>
      <c r="V9" s="482"/>
      <c r="X9" s="483"/>
      <c r="Y9" s="15"/>
      <c r="Z9" s="167" t="s">
        <v>25</v>
      </c>
      <c r="AA9" s="484" t="s">
        <v>26</v>
      </c>
    </row>
    <row r="10" spans="1:32" x14ac:dyDescent="0.25">
      <c r="A10" s="485"/>
      <c r="B10" s="61"/>
      <c r="C10" s="61"/>
      <c r="D10" s="568" t="s">
        <v>206</v>
      </c>
      <c r="E10" s="512"/>
      <c r="F10" s="87"/>
      <c r="G10" s="483"/>
      <c r="H10" s="167" t="s">
        <v>7</v>
      </c>
      <c r="I10" s="167" t="s">
        <v>6</v>
      </c>
      <c r="J10" s="167" t="s">
        <v>25</v>
      </c>
      <c r="K10" s="484" t="s">
        <v>26</v>
      </c>
      <c r="L10" s="483"/>
      <c r="M10" s="485"/>
      <c r="N10" s="112"/>
      <c r="O10" s="112"/>
      <c r="P10" s="523"/>
      <c r="Q10" s="474"/>
      <c r="R10" s="483"/>
      <c r="S10" s="167" t="s">
        <v>7</v>
      </c>
      <c r="T10" s="167" t="s">
        <v>6</v>
      </c>
      <c r="U10" s="167" t="s">
        <v>25</v>
      </c>
      <c r="V10" s="484" t="s">
        <v>26</v>
      </c>
      <c r="X10" s="485"/>
      <c r="Y10" s="112"/>
      <c r="Z10" s="112"/>
      <c r="AA10" s="523"/>
    </row>
    <row r="11" spans="1:32" x14ac:dyDescent="0.25">
      <c r="A11" s="487" t="s">
        <v>2</v>
      </c>
      <c r="B11" s="569">
        <f>SUM(83.79/2)</f>
        <v>41.895000000000003</v>
      </c>
      <c r="C11" s="95">
        <f>SUM(D11/2)-B11</f>
        <v>397.19000000000005</v>
      </c>
      <c r="D11" s="569">
        <f>SUM(E11/12)</f>
        <v>878.17000000000007</v>
      </c>
      <c r="E11" s="488">
        <v>10538.04</v>
      </c>
      <c r="F11" s="87"/>
      <c r="G11" s="485"/>
      <c r="H11" s="61"/>
      <c r="I11" s="61"/>
      <c r="J11" s="112"/>
      <c r="K11" s="486"/>
      <c r="L11" s="483"/>
      <c r="M11" s="487" t="s">
        <v>3</v>
      </c>
      <c r="N11" s="95"/>
      <c r="O11" s="95">
        <f>SUM(P11/12)</f>
        <v>1675.49</v>
      </c>
      <c r="P11" s="488">
        <v>20105.88</v>
      </c>
      <c r="Q11" s="139"/>
      <c r="R11" s="485"/>
      <c r="S11" s="61"/>
      <c r="T11" s="61"/>
      <c r="U11" s="112"/>
      <c r="V11" s="486"/>
      <c r="X11" s="487" t="s">
        <v>3</v>
      </c>
      <c r="Y11" s="95"/>
      <c r="Z11" s="95">
        <v>1536</v>
      </c>
      <c r="AA11" s="571">
        <f>SUM(Z11*12)</f>
        <v>18432</v>
      </c>
      <c r="AB11" s="65"/>
      <c r="AC11" s="65">
        <f>Z11/2</f>
        <v>768</v>
      </c>
    </row>
    <row r="12" spans="1:32" x14ac:dyDescent="0.25">
      <c r="A12" s="913" t="s">
        <v>122</v>
      </c>
      <c r="B12" s="914"/>
      <c r="C12" s="914"/>
      <c r="D12" s="914"/>
      <c r="E12" s="915"/>
      <c r="F12" s="87"/>
      <c r="G12" s="487" t="s">
        <v>3</v>
      </c>
      <c r="H12" s="95">
        <f>SUM(110.58/2)</f>
        <v>55.29</v>
      </c>
      <c r="I12" s="95">
        <f>J12/2-H12</f>
        <v>782.45500000000004</v>
      </c>
      <c r="J12" s="95">
        <f>SUM(K12/12)</f>
        <v>1675.49</v>
      </c>
      <c r="K12" s="488">
        <v>20105.88</v>
      </c>
      <c r="L12" s="483"/>
      <c r="M12" s="485"/>
      <c r="N12" s="115"/>
      <c r="O12" s="115"/>
      <c r="P12" s="523"/>
      <c r="Q12" s="194"/>
      <c r="R12" s="487" t="s">
        <v>3</v>
      </c>
      <c r="S12" s="95">
        <v>0</v>
      </c>
      <c r="T12" s="95">
        <f>U12/2-S12</f>
        <v>768</v>
      </c>
      <c r="U12" s="95">
        <v>1536</v>
      </c>
      <c r="V12" s="571">
        <f>SUM(U12*12)</f>
        <v>18432</v>
      </c>
      <c r="X12" s="485"/>
      <c r="Y12" s="115"/>
      <c r="Z12" s="115"/>
      <c r="AA12" s="523"/>
    </row>
    <row r="13" spans="1:32" x14ac:dyDescent="0.25">
      <c r="A13" s="822" t="s">
        <v>143</v>
      </c>
      <c r="B13" s="823"/>
      <c r="C13" s="823"/>
      <c r="D13" s="823"/>
      <c r="E13" s="824"/>
      <c r="F13" s="87"/>
      <c r="G13" s="485"/>
      <c r="H13" s="61"/>
      <c r="I13" s="61"/>
      <c r="J13" s="115"/>
      <c r="K13" s="512"/>
      <c r="L13" s="483"/>
      <c r="M13" s="487" t="s">
        <v>2</v>
      </c>
      <c r="N13" s="95"/>
      <c r="O13" s="95">
        <f>SUM(P13/12)</f>
        <v>738.98</v>
      </c>
      <c r="P13" s="488">
        <v>8867.76</v>
      </c>
      <c r="Q13" s="194"/>
      <c r="R13" s="485"/>
      <c r="S13" s="61"/>
      <c r="T13" s="61"/>
      <c r="U13" s="115"/>
      <c r="V13" s="512"/>
      <c r="X13" s="487" t="s">
        <v>2</v>
      </c>
      <c r="Y13" s="95"/>
      <c r="Z13" s="95">
        <v>677.46</v>
      </c>
      <c r="AA13" s="571">
        <f>SUM(Z13*12)</f>
        <v>8129.52</v>
      </c>
      <c r="AB13" s="65"/>
      <c r="AC13" s="65">
        <f>Z13/2</f>
        <v>338.73</v>
      </c>
    </row>
    <row r="14" spans="1:32" ht="15.75" thickBot="1" x14ac:dyDescent="0.3">
      <c r="A14" s="520"/>
      <c r="B14" s="521"/>
      <c r="C14" s="521"/>
      <c r="D14" s="508"/>
      <c r="E14" s="522"/>
      <c r="F14" s="87"/>
      <c r="G14" s="487" t="s">
        <v>2</v>
      </c>
      <c r="H14" s="569">
        <v>24.38</v>
      </c>
      <c r="I14" s="95">
        <f>SUM(J14/2)-H14</f>
        <v>345.11</v>
      </c>
      <c r="J14" s="95">
        <f>SUM(K14/12)</f>
        <v>738.98</v>
      </c>
      <c r="K14" s="488">
        <v>8867.76</v>
      </c>
      <c r="L14" s="483"/>
      <c r="M14" s="489"/>
      <c r="N14" s="149"/>
      <c r="O14" s="150"/>
      <c r="P14" s="570" t="s">
        <v>206</v>
      </c>
      <c r="Q14" s="194"/>
      <c r="R14" s="487" t="s">
        <v>2</v>
      </c>
      <c r="S14" s="569">
        <v>0</v>
      </c>
      <c r="T14" s="95">
        <f>SUM(U14/2)-S14</f>
        <v>338.73</v>
      </c>
      <c r="U14" s="95">
        <v>677.46</v>
      </c>
      <c r="V14" s="571">
        <f>SUM(U14*12)</f>
        <v>8129.52</v>
      </c>
      <c r="X14" s="489"/>
      <c r="Y14" s="149"/>
      <c r="Z14" s="150"/>
      <c r="AA14" s="570" t="s">
        <v>206</v>
      </c>
    </row>
    <row r="15" spans="1:32" ht="15.75" thickBot="1" x14ac:dyDescent="0.3">
      <c r="A15" s="15"/>
      <c r="B15" s="15"/>
      <c r="C15" s="15"/>
      <c r="D15" s="164"/>
      <c r="E15" s="164"/>
      <c r="F15" s="87"/>
      <c r="G15" s="489"/>
      <c r="H15" s="149"/>
      <c r="I15" s="149"/>
      <c r="J15" s="150"/>
      <c r="K15" s="490"/>
      <c r="L15" s="483"/>
      <c r="M15" s="485"/>
      <c r="N15" s="61"/>
      <c r="O15" s="117"/>
      <c r="P15" s="491"/>
      <c r="Q15" s="194"/>
      <c r="R15" s="489"/>
      <c r="S15" s="149"/>
      <c r="T15" s="149"/>
      <c r="U15" s="150"/>
      <c r="V15" s="490"/>
      <c r="X15" s="485"/>
      <c r="Y15" s="61"/>
      <c r="Z15" s="117"/>
      <c r="AA15" s="491"/>
    </row>
    <row r="16" spans="1:32" x14ac:dyDescent="0.25">
      <c r="A16" s="562"/>
      <c r="B16" s="563"/>
      <c r="C16" s="563"/>
      <c r="D16" s="564"/>
      <c r="E16" s="565"/>
      <c r="F16" s="87"/>
      <c r="G16" s="485"/>
      <c r="H16" s="61"/>
      <c r="I16" s="61"/>
      <c r="J16" s="117"/>
      <c r="K16" s="491"/>
      <c r="L16" s="483"/>
      <c r="M16" s="485"/>
      <c r="N16" s="61"/>
      <c r="O16" s="117"/>
      <c r="P16" s="491"/>
      <c r="Q16" s="194"/>
      <c r="R16" s="485"/>
      <c r="S16" s="61"/>
      <c r="T16" s="61"/>
      <c r="U16" s="117"/>
      <c r="V16" s="491"/>
      <c r="X16" s="485"/>
      <c r="Y16" s="61"/>
      <c r="Z16" s="117"/>
      <c r="AA16" s="491"/>
      <c r="AC16" s="95"/>
    </row>
    <row r="17" spans="1:35" x14ac:dyDescent="0.25">
      <c r="A17" s="913" t="s">
        <v>140</v>
      </c>
      <c r="B17" s="914"/>
      <c r="C17" s="914"/>
      <c r="D17" s="914"/>
      <c r="E17" s="915"/>
      <c r="F17" s="87"/>
      <c r="G17" s="485"/>
      <c r="H17" s="61"/>
      <c r="I17" s="61"/>
      <c r="J17" s="117"/>
      <c r="K17" s="491"/>
      <c r="L17" s="483"/>
      <c r="M17" s="828" t="s">
        <v>140</v>
      </c>
      <c r="N17" s="829"/>
      <c r="O17" s="829"/>
      <c r="P17" s="830"/>
      <c r="Q17" s="194"/>
      <c r="R17" s="485"/>
      <c r="S17" s="61"/>
      <c r="T17" s="61"/>
      <c r="U17" s="117"/>
      <c r="V17" s="491"/>
      <c r="X17" s="828" t="s">
        <v>140</v>
      </c>
      <c r="Y17" s="829"/>
      <c r="Z17" s="829"/>
      <c r="AA17" s="830"/>
    </row>
    <row r="18" spans="1:35" x14ac:dyDescent="0.25">
      <c r="A18" s="560"/>
      <c r="B18" s="15"/>
      <c r="C18" s="15"/>
      <c r="D18" s="15"/>
      <c r="E18" s="523"/>
      <c r="F18" s="87"/>
      <c r="G18" s="828" t="s">
        <v>122</v>
      </c>
      <c r="H18" s="829"/>
      <c r="I18" s="829"/>
      <c r="J18" s="829"/>
      <c r="K18" s="830"/>
      <c r="L18" s="483"/>
      <c r="M18" s="492" t="s">
        <v>107</v>
      </c>
      <c r="N18" s="61"/>
      <c r="O18" s="93" t="s">
        <v>83</v>
      </c>
      <c r="P18" s="524" t="s">
        <v>6</v>
      </c>
      <c r="Q18" s="194"/>
      <c r="R18" s="828" t="s">
        <v>122</v>
      </c>
      <c r="S18" s="829"/>
      <c r="T18" s="829"/>
      <c r="U18" s="829"/>
      <c r="V18" s="830"/>
      <c r="X18" s="492" t="s">
        <v>107</v>
      </c>
      <c r="Y18" s="61"/>
      <c r="Z18" s="93" t="s">
        <v>83</v>
      </c>
      <c r="AA18" s="524" t="s">
        <v>6</v>
      </c>
      <c r="AE18" t="s">
        <v>182</v>
      </c>
    </row>
    <row r="19" spans="1:35" x14ac:dyDescent="0.25">
      <c r="A19" s="492" t="s">
        <v>107</v>
      </c>
      <c r="B19" s="61"/>
      <c r="C19" s="93"/>
      <c r="D19" s="93" t="s">
        <v>83</v>
      </c>
      <c r="E19" s="524" t="s">
        <v>6</v>
      </c>
      <c r="F19" s="110"/>
      <c r="G19" s="702" t="s">
        <v>138</v>
      </c>
      <c r="H19" s="703"/>
      <c r="I19" s="703"/>
      <c r="J19" s="703"/>
      <c r="K19" s="704"/>
      <c r="L19" s="483"/>
      <c r="M19" s="505" t="s">
        <v>3</v>
      </c>
      <c r="N19" s="143"/>
      <c r="O19" s="546">
        <f>O11/2*44%</f>
        <v>368.6078</v>
      </c>
      <c r="P19" s="539">
        <f>O11/2*56%</f>
        <v>469.13720000000006</v>
      </c>
      <c r="Q19" s="194"/>
      <c r="R19" s="702" t="s">
        <v>138</v>
      </c>
      <c r="S19" s="703"/>
      <c r="T19" s="703"/>
      <c r="U19" s="703"/>
      <c r="V19" s="704"/>
      <c r="X19" s="505" t="s">
        <v>3</v>
      </c>
      <c r="Y19" s="143"/>
      <c r="Z19" s="546">
        <f>Z11/2*44%</f>
        <v>337.92</v>
      </c>
      <c r="AA19" s="539">
        <f>Z11/2*56%</f>
        <v>430.08000000000004</v>
      </c>
      <c r="AB19" s="479" t="s">
        <v>157</v>
      </c>
      <c r="AC19" s="84">
        <f>Z19+AA19</f>
        <v>768</v>
      </c>
      <c r="AE19" t="s">
        <v>181</v>
      </c>
    </row>
    <row r="20" spans="1:35" ht="15" customHeight="1" x14ac:dyDescent="0.25">
      <c r="A20" s="505" t="s">
        <v>3</v>
      </c>
      <c r="B20" s="143"/>
      <c r="C20" s="281"/>
      <c r="D20" s="546">
        <f>D9/2*44%</f>
        <v>438.03539999999998</v>
      </c>
      <c r="E20" s="539">
        <f>D9/2*56%</f>
        <v>557.49959999999999</v>
      </c>
      <c r="F20" s="92"/>
      <c r="G20" s="702"/>
      <c r="H20" s="703"/>
      <c r="I20" s="703"/>
      <c r="J20" s="703"/>
      <c r="K20" s="704"/>
      <c r="L20" s="483"/>
      <c r="M20" s="505" t="s">
        <v>2</v>
      </c>
      <c r="N20" s="143"/>
      <c r="O20" s="546">
        <f>SUM(H14)</f>
        <v>24.38</v>
      </c>
      <c r="P20" s="539">
        <f>O13/2-O20</f>
        <v>345.11</v>
      </c>
      <c r="Q20" s="194"/>
      <c r="R20" s="702"/>
      <c r="S20" s="703"/>
      <c r="T20" s="703"/>
      <c r="U20" s="703"/>
      <c r="V20" s="704"/>
      <c r="X20" s="505" t="s">
        <v>2</v>
      </c>
      <c r="Y20" s="143"/>
      <c r="Z20" s="546">
        <f>SUM(S14)</f>
        <v>0</v>
      </c>
      <c r="AA20" s="539">
        <f>Z13/2-Z20</f>
        <v>338.73</v>
      </c>
      <c r="AB20" s="84"/>
      <c r="AC20" s="84">
        <f>Z20+AA20</f>
        <v>338.73</v>
      </c>
      <c r="AE20" s="716" t="s">
        <v>210</v>
      </c>
      <c r="AF20" s="716"/>
      <c r="AG20" s="716"/>
      <c r="AH20" s="716"/>
      <c r="AI20" s="716"/>
    </row>
    <row r="21" spans="1:35" x14ac:dyDescent="0.25">
      <c r="A21" s="505" t="s">
        <v>2</v>
      </c>
      <c r="B21" s="143"/>
      <c r="C21" s="281"/>
      <c r="D21" s="546">
        <f>SUM(B11)</f>
        <v>41.895000000000003</v>
      </c>
      <c r="E21" s="539">
        <f>SUM(C11)</f>
        <v>397.19000000000005</v>
      </c>
      <c r="F21" s="92"/>
      <c r="G21" s="502"/>
      <c r="H21" s="147"/>
      <c r="I21" s="147"/>
      <c r="J21" s="135"/>
      <c r="K21" s="490"/>
      <c r="L21" s="483"/>
      <c r="M21" s="525"/>
      <c r="N21" s="144"/>
      <c r="O21" s="106"/>
      <c r="P21" s="526"/>
      <c r="Q21" s="194"/>
      <c r="R21" s="502"/>
      <c r="S21" s="147"/>
      <c r="T21" s="147"/>
      <c r="U21" s="135"/>
      <c r="V21" s="490"/>
      <c r="X21" s="525"/>
      <c r="Y21" s="144"/>
      <c r="Z21" s="106"/>
      <c r="AA21" s="526"/>
      <c r="AB21" s="84"/>
      <c r="AC21" s="84"/>
    </row>
    <row r="22" spans="1:35" ht="15" customHeight="1" x14ac:dyDescent="0.25">
      <c r="A22" s="525"/>
      <c r="B22" s="144"/>
      <c r="C22" s="106"/>
      <c r="D22" s="106"/>
      <c r="E22" s="526"/>
      <c r="F22" s="108"/>
      <c r="G22" s="499"/>
      <c r="H22" s="184"/>
      <c r="I22" s="184"/>
      <c r="J22" s="184"/>
      <c r="K22" s="500"/>
      <c r="L22" s="483"/>
      <c r="M22" s="492" t="s">
        <v>108</v>
      </c>
      <c r="N22" s="144"/>
      <c r="O22" s="93" t="s">
        <v>83</v>
      </c>
      <c r="P22" s="524" t="s">
        <v>6</v>
      </c>
      <c r="Q22" s="194"/>
      <c r="R22" s="499"/>
      <c r="S22" s="184"/>
      <c r="T22" s="184"/>
      <c r="U22" s="184"/>
      <c r="V22" s="500"/>
      <c r="X22" s="492" t="s">
        <v>108</v>
      </c>
      <c r="Y22" s="144"/>
      <c r="Z22" s="93" t="s">
        <v>83</v>
      </c>
      <c r="AA22" s="524" t="s">
        <v>6</v>
      </c>
      <c r="AB22" s="84"/>
      <c r="AC22" s="84"/>
    </row>
    <row r="23" spans="1:35" ht="15" customHeight="1" x14ac:dyDescent="0.25">
      <c r="A23" s="492" t="s">
        <v>108</v>
      </c>
      <c r="B23" s="144"/>
      <c r="C23" s="93"/>
      <c r="D23" s="93" t="s">
        <v>83</v>
      </c>
      <c r="E23" s="524" t="s">
        <v>6</v>
      </c>
      <c r="F23" s="110"/>
      <c r="G23" s="492"/>
      <c r="H23" s="144"/>
      <c r="I23" s="144"/>
      <c r="J23" s="121"/>
      <c r="K23" s="493"/>
      <c r="L23" s="483"/>
      <c r="M23" s="505" t="s">
        <v>3</v>
      </c>
      <c r="N23" s="143"/>
      <c r="O23" s="546">
        <f>O11/2-P23</f>
        <v>418.8725</v>
      </c>
      <c r="P23" s="539">
        <f>O11/2/2</f>
        <v>418.8725</v>
      </c>
      <c r="Q23" s="194"/>
      <c r="R23" s="492"/>
      <c r="S23" s="144"/>
      <c r="T23" s="144"/>
      <c r="U23" s="121"/>
      <c r="V23" s="493"/>
      <c r="X23" s="505" t="s">
        <v>3</v>
      </c>
      <c r="Y23" s="143"/>
      <c r="Z23" s="546">
        <f>Z11/2-AA23</f>
        <v>384</v>
      </c>
      <c r="AA23" s="539">
        <f>Z11/2/2</f>
        <v>384</v>
      </c>
      <c r="AB23" s="84"/>
      <c r="AC23" s="84">
        <f>Z23+AA23</f>
        <v>768</v>
      </c>
      <c r="AD23" s="283">
        <v>0.87</v>
      </c>
    </row>
    <row r="24" spans="1:35" x14ac:dyDescent="0.25">
      <c r="A24" s="505" t="s">
        <v>3</v>
      </c>
      <c r="B24" s="143"/>
      <c r="C24" s="281"/>
      <c r="D24" s="546">
        <f>D9/2/2</f>
        <v>497.76749999999998</v>
      </c>
      <c r="E24" s="539">
        <f>D9/2-D24</f>
        <v>497.76749999999998</v>
      </c>
      <c r="F24" s="92"/>
      <c r="G24" s="501"/>
      <c r="H24" s="143"/>
      <c r="I24" s="143"/>
      <c r="J24" s="125"/>
      <c r="K24" s="491"/>
      <c r="L24" s="483"/>
      <c r="M24" s="505" t="s">
        <v>2</v>
      </c>
      <c r="N24" s="143"/>
      <c r="O24" s="546">
        <f>O13/2-P24</f>
        <v>69.24430000000001</v>
      </c>
      <c r="P24" s="539">
        <f>P20*87%</f>
        <v>300.2457</v>
      </c>
      <c r="Q24" s="194"/>
      <c r="R24" s="501"/>
      <c r="S24" s="143"/>
      <c r="T24" s="143"/>
      <c r="U24" s="125"/>
      <c r="V24" s="491"/>
      <c r="X24" s="505" t="s">
        <v>2</v>
      </c>
      <c r="Y24" s="143"/>
      <c r="Z24" s="546">
        <f>Z13/2-AA24</f>
        <v>44.034899999999993</v>
      </c>
      <c r="AA24" s="539">
        <f>AA20*87%</f>
        <v>294.69510000000002</v>
      </c>
      <c r="AB24" s="84"/>
      <c r="AC24" s="84">
        <f>Z24+AA24</f>
        <v>338.73</v>
      </c>
    </row>
    <row r="25" spans="1:35" x14ac:dyDescent="0.25">
      <c r="A25" s="505" t="s">
        <v>2</v>
      </c>
      <c r="B25" s="143"/>
      <c r="C25" s="281"/>
      <c r="D25" s="546">
        <f>D11/2-E25</f>
        <v>93.529699999999991</v>
      </c>
      <c r="E25" s="539">
        <f>E21*87%</f>
        <v>345.55530000000005</v>
      </c>
      <c r="F25" s="92"/>
      <c r="G25" s="502"/>
      <c r="H25" s="143"/>
      <c r="I25" s="143"/>
      <c r="J25" s="125"/>
      <c r="K25" s="491"/>
      <c r="L25" s="483"/>
      <c r="M25" s="503"/>
      <c r="N25" s="145"/>
      <c r="O25" s="91"/>
      <c r="P25" s="504"/>
      <c r="Q25" s="194"/>
      <c r="R25" s="502"/>
      <c r="S25" s="143"/>
      <c r="T25" s="143"/>
      <c r="U25" s="125"/>
      <c r="V25" s="491"/>
      <c r="X25" s="503"/>
      <c r="Y25" s="145"/>
      <c r="Z25" s="91"/>
      <c r="AA25" s="504"/>
      <c r="AB25" s="84"/>
      <c r="AC25" s="84"/>
    </row>
    <row r="26" spans="1:35" x14ac:dyDescent="0.25">
      <c r="A26" s="503"/>
      <c r="B26" s="145"/>
      <c r="C26" s="91"/>
      <c r="D26" s="91"/>
      <c r="E26" s="504"/>
      <c r="F26" s="108"/>
      <c r="G26" s="828" t="s">
        <v>144</v>
      </c>
      <c r="H26" s="829"/>
      <c r="I26" s="829"/>
      <c r="J26" s="829"/>
      <c r="K26" s="830"/>
      <c r="L26" s="483"/>
      <c r="M26" s="527" t="s">
        <v>110</v>
      </c>
      <c r="N26" s="145"/>
      <c r="O26" s="164" t="s">
        <v>83</v>
      </c>
      <c r="P26" s="519" t="s">
        <v>6</v>
      </c>
      <c r="Q26" s="194"/>
      <c r="R26" s="828" t="s">
        <v>144</v>
      </c>
      <c r="S26" s="829"/>
      <c r="T26" s="829"/>
      <c r="U26" s="829"/>
      <c r="V26" s="830"/>
      <c r="X26" s="527" t="s">
        <v>110</v>
      </c>
      <c r="Y26" s="145"/>
      <c r="Z26" s="164" t="s">
        <v>83</v>
      </c>
      <c r="AA26" s="519" t="s">
        <v>6</v>
      </c>
      <c r="AB26" s="84"/>
      <c r="AC26" s="84"/>
    </row>
    <row r="27" spans="1:35" x14ac:dyDescent="0.25">
      <c r="A27" s="527" t="s">
        <v>110</v>
      </c>
      <c r="B27" s="145"/>
      <c r="C27" s="164"/>
      <c r="D27" s="164" t="s">
        <v>83</v>
      </c>
      <c r="E27" s="519" t="s">
        <v>6</v>
      </c>
      <c r="F27" s="110"/>
      <c r="G27" s="503"/>
      <c r="H27" s="145"/>
      <c r="I27" s="145"/>
      <c r="J27" s="125"/>
      <c r="K27" s="561" t="s">
        <v>5</v>
      </c>
      <c r="L27" s="483"/>
      <c r="M27" s="505" t="s">
        <v>3</v>
      </c>
      <c r="N27" s="475"/>
      <c r="O27" s="546">
        <f>O11/2-P27</f>
        <v>418.8725</v>
      </c>
      <c r="P27" s="539">
        <f>O11/2/2</f>
        <v>418.8725</v>
      </c>
      <c r="Q27" s="194"/>
      <c r="R27" s="503"/>
      <c r="S27" s="145"/>
      <c r="T27" s="145"/>
      <c r="U27" s="125"/>
      <c r="V27" s="561" t="s">
        <v>5</v>
      </c>
      <c r="X27" s="505" t="s">
        <v>3</v>
      </c>
      <c r="Y27" s="541"/>
      <c r="Z27" s="546">
        <f>Z11/2-AA27</f>
        <v>384</v>
      </c>
      <c r="AA27" s="539">
        <f>Z11/2/2</f>
        <v>384</v>
      </c>
      <c r="AB27" s="84"/>
      <c r="AC27" s="84">
        <f t="shared" ref="AC27:AC35" si="0">Z27+AA27</f>
        <v>768</v>
      </c>
      <c r="AD27" s="283">
        <v>0.75</v>
      </c>
    </row>
    <row r="28" spans="1:35" x14ac:dyDescent="0.25">
      <c r="A28" s="505" t="s">
        <v>3</v>
      </c>
      <c r="B28" s="533"/>
      <c r="C28" s="281"/>
      <c r="D28" s="546">
        <f>D9/2/2</f>
        <v>497.76749999999998</v>
      </c>
      <c r="E28" s="539">
        <f>D9/2-D28</f>
        <v>497.76749999999998</v>
      </c>
      <c r="F28" s="110"/>
      <c r="G28" s="487" t="s">
        <v>3</v>
      </c>
      <c r="H28" s="145"/>
      <c r="I28" s="173">
        <v>2500</v>
      </c>
      <c r="J28" s="125"/>
      <c r="K28" s="538">
        <v>104.17</v>
      </c>
      <c r="L28" s="483"/>
      <c r="M28" s="505" t="s">
        <v>2</v>
      </c>
      <c r="N28" s="143"/>
      <c r="O28" s="546">
        <f>O13/2-P28</f>
        <v>110.65750000000003</v>
      </c>
      <c r="P28" s="539">
        <f>P20*75%</f>
        <v>258.83249999999998</v>
      </c>
      <c r="Q28" s="194"/>
      <c r="R28" s="487" t="s">
        <v>3</v>
      </c>
      <c r="S28" s="145"/>
      <c r="T28" s="173">
        <v>2846.89</v>
      </c>
      <c r="U28" s="125"/>
      <c r="V28" s="538">
        <f>SUM(T28/24)</f>
        <v>118.62041666666666</v>
      </c>
      <c r="X28" s="505" t="s">
        <v>2</v>
      </c>
      <c r="Y28" s="143"/>
      <c r="Z28" s="546">
        <f>Z13/2-AA28</f>
        <v>84.682500000000005</v>
      </c>
      <c r="AA28" s="539">
        <f>AA20*75%</f>
        <v>254.04750000000001</v>
      </c>
      <c r="AB28" s="84"/>
      <c r="AC28" s="84">
        <f t="shared" si="0"/>
        <v>338.73</v>
      </c>
    </row>
    <row r="29" spans="1:35" x14ac:dyDescent="0.25">
      <c r="A29" s="505" t="s">
        <v>2</v>
      </c>
      <c r="B29" s="143"/>
      <c r="C29" s="281"/>
      <c r="D29" s="546">
        <f>D11/2-E29</f>
        <v>141.1925</v>
      </c>
      <c r="E29" s="539">
        <f>E21*75%</f>
        <v>297.89250000000004</v>
      </c>
      <c r="F29" s="92"/>
      <c r="G29" s="505"/>
      <c r="H29" s="475"/>
      <c r="I29" s="475"/>
      <c r="J29" s="125"/>
      <c r="K29" s="491"/>
      <c r="L29" s="156"/>
      <c r="M29" s="503"/>
      <c r="N29" s="145"/>
      <c r="O29" s="91"/>
      <c r="P29" s="504"/>
      <c r="Q29" s="194"/>
      <c r="R29" s="505"/>
      <c r="S29" s="541"/>
      <c r="T29" s="541"/>
      <c r="U29" s="125"/>
      <c r="V29" s="491"/>
      <c r="X29" s="503"/>
      <c r="Y29" s="145"/>
      <c r="Z29" s="91"/>
      <c r="AA29" s="504"/>
      <c r="AB29" s="84"/>
      <c r="AC29" s="84"/>
    </row>
    <row r="30" spans="1:35" x14ac:dyDescent="0.25">
      <c r="A30" s="503"/>
      <c r="B30" s="145"/>
      <c r="C30" s="91"/>
      <c r="D30" s="91"/>
      <c r="E30" s="504"/>
      <c r="F30" s="108"/>
      <c r="G30" s="487" t="s">
        <v>2</v>
      </c>
      <c r="H30" s="143"/>
      <c r="I30" s="173">
        <v>1250</v>
      </c>
      <c r="J30" s="125"/>
      <c r="K30" s="539">
        <v>52.09</v>
      </c>
      <c r="L30" s="156"/>
      <c r="M30" s="527" t="s">
        <v>109</v>
      </c>
      <c r="N30" s="145"/>
      <c r="O30" s="164" t="s">
        <v>83</v>
      </c>
      <c r="P30" s="519" t="s">
        <v>6</v>
      </c>
      <c r="Q30" s="194"/>
      <c r="R30" s="487" t="s">
        <v>2</v>
      </c>
      <c r="S30" s="143"/>
      <c r="T30" s="173">
        <v>1402.97</v>
      </c>
      <c r="U30" s="125"/>
      <c r="V30" s="539">
        <f>SUM(T30/24)</f>
        <v>58.457083333333337</v>
      </c>
      <c r="X30" s="527" t="s">
        <v>109</v>
      </c>
      <c r="Y30" s="145"/>
      <c r="Z30" s="164" t="s">
        <v>83</v>
      </c>
      <c r="AA30" s="519" t="s">
        <v>6</v>
      </c>
      <c r="AB30" s="84"/>
      <c r="AC30" s="84"/>
    </row>
    <row r="31" spans="1:35" x14ac:dyDescent="0.25">
      <c r="A31" s="527" t="s">
        <v>109</v>
      </c>
      <c r="B31" s="145"/>
      <c r="C31" s="164"/>
      <c r="D31" s="164" t="s">
        <v>83</v>
      </c>
      <c r="E31" s="519" t="s">
        <v>6</v>
      </c>
      <c r="F31" s="110"/>
      <c r="G31" s="503"/>
      <c r="H31" s="145"/>
      <c r="I31" s="173"/>
      <c r="J31" s="125"/>
      <c r="K31" s="504"/>
      <c r="L31" s="159"/>
      <c r="M31" s="505" t="s">
        <v>3</v>
      </c>
      <c r="N31" s="143"/>
      <c r="O31" s="547">
        <f>O11/2-P31</f>
        <v>418.8725</v>
      </c>
      <c r="P31" s="548">
        <f>O11/2/2</f>
        <v>418.8725</v>
      </c>
      <c r="Q31" s="156"/>
      <c r="R31" s="503"/>
      <c r="S31" s="145"/>
      <c r="T31" s="173"/>
      <c r="U31" s="125"/>
      <c r="V31" s="504"/>
      <c r="X31" s="505" t="s">
        <v>3</v>
      </c>
      <c r="Y31" s="143"/>
      <c r="Z31" s="547">
        <f>Z11/2-AA31</f>
        <v>384</v>
      </c>
      <c r="AA31" s="548">
        <f>Z11/2/2</f>
        <v>384</v>
      </c>
      <c r="AB31" s="84"/>
      <c r="AC31" s="84">
        <f t="shared" si="0"/>
        <v>768</v>
      </c>
      <c r="AD31" s="283">
        <v>0.62</v>
      </c>
    </row>
    <row r="32" spans="1:35" x14ac:dyDescent="0.25">
      <c r="A32" s="505" t="s">
        <v>3</v>
      </c>
      <c r="B32" s="143"/>
      <c r="C32" s="156"/>
      <c r="D32" s="547">
        <f>D9/2/2</f>
        <v>497.76749999999998</v>
      </c>
      <c r="E32" s="548">
        <f>D9/2-D32</f>
        <v>497.76749999999998</v>
      </c>
      <c r="F32" s="92"/>
      <c r="G32" s="822" t="s">
        <v>146</v>
      </c>
      <c r="H32" s="823"/>
      <c r="I32" s="823"/>
      <c r="J32" s="823"/>
      <c r="K32" s="824"/>
      <c r="L32" s="475"/>
      <c r="M32" s="505" t="s">
        <v>2</v>
      </c>
      <c r="N32" s="143"/>
      <c r="O32" s="547">
        <f>O13/2-P32</f>
        <v>155.52180000000001</v>
      </c>
      <c r="P32" s="548">
        <f>P20*62%</f>
        <v>213.9682</v>
      </c>
      <c r="Q32" s="156"/>
      <c r="R32" s="822" t="s">
        <v>146</v>
      </c>
      <c r="S32" s="823"/>
      <c r="T32" s="823"/>
      <c r="U32" s="823"/>
      <c r="V32" s="824"/>
      <c r="X32" s="505" t="s">
        <v>2</v>
      </c>
      <c r="Y32" s="143"/>
      <c r="Z32" s="547">
        <f>Z13/2-AA32</f>
        <v>128.7174</v>
      </c>
      <c r="AA32" s="548">
        <f>AA20*62%</f>
        <v>210.01260000000002</v>
      </c>
      <c r="AB32" s="84"/>
      <c r="AC32" s="84">
        <f t="shared" si="0"/>
        <v>338.73</v>
      </c>
    </row>
    <row r="33" spans="1:32" x14ac:dyDescent="0.25">
      <c r="A33" s="505" t="s">
        <v>2</v>
      </c>
      <c r="B33" s="143"/>
      <c r="C33" s="156"/>
      <c r="D33" s="547">
        <f>D11/2-E33</f>
        <v>192.8272</v>
      </c>
      <c r="E33" s="548">
        <f>E21*62%</f>
        <v>246.25780000000003</v>
      </c>
      <c r="F33" s="92"/>
      <c r="G33" s="822" t="s">
        <v>159</v>
      </c>
      <c r="H33" s="823"/>
      <c r="I33" s="823"/>
      <c r="J33" s="823"/>
      <c r="K33" s="824"/>
      <c r="L33" s="475"/>
      <c r="M33" s="503"/>
      <c r="N33" s="145"/>
      <c r="O33" s="91"/>
      <c r="P33" s="528"/>
      <c r="Q33" s="159"/>
      <c r="R33" s="822" t="s">
        <v>159</v>
      </c>
      <c r="S33" s="823"/>
      <c r="T33" s="823"/>
      <c r="U33" s="823"/>
      <c r="V33" s="824"/>
      <c r="X33" s="503"/>
      <c r="Y33" s="145"/>
      <c r="Z33" s="91"/>
      <c r="AA33" s="528"/>
      <c r="AB33" s="84"/>
      <c r="AC33" s="84"/>
    </row>
    <row r="34" spans="1:32" ht="15" customHeight="1" x14ac:dyDescent="0.25">
      <c r="A34" s="503"/>
      <c r="B34" s="145"/>
      <c r="C34" s="91"/>
      <c r="D34" s="91"/>
      <c r="E34" s="528"/>
      <c r="F34" s="108"/>
      <c r="G34" s="822" t="s">
        <v>145</v>
      </c>
      <c r="H34" s="823"/>
      <c r="I34" s="823"/>
      <c r="J34" s="823"/>
      <c r="K34" s="824"/>
      <c r="L34" s="475"/>
      <c r="M34" s="527" t="s">
        <v>106</v>
      </c>
      <c r="N34" s="143"/>
      <c r="O34" s="164" t="s">
        <v>83</v>
      </c>
      <c r="P34" s="519" t="s">
        <v>6</v>
      </c>
      <c r="Q34" s="475"/>
      <c r="R34" s="822" t="s">
        <v>145</v>
      </c>
      <c r="S34" s="823"/>
      <c r="T34" s="823"/>
      <c r="U34" s="823"/>
      <c r="V34" s="824"/>
      <c r="X34" s="527" t="s">
        <v>106</v>
      </c>
      <c r="Y34" s="143"/>
      <c r="Z34" s="164" t="s">
        <v>83</v>
      </c>
      <c r="AA34" s="519" t="s">
        <v>6</v>
      </c>
      <c r="AB34" s="84"/>
      <c r="AC34" s="84"/>
    </row>
    <row r="35" spans="1:32" ht="15.75" thickBot="1" x14ac:dyDescent="0.3">
      <c r="A35" s="527" t="s">
        <v>106</v>
      </c>
      <c r="B35" s="143"/>
      <c r="C35" s="164"/>
      <c r="D35" s="164" t="s">
        <v>83</v>
      </c>
      <c r="E35" s="519" t="s">
        <v>6</v>
      </c>
      <c r="F35" s="110"/>
      <c r="G35" s="506"/>
      <c r="H35" s="507"/>
      <c r="I35" s="507"/>
      <c r="J35" s="508"/>
      <c r="K35" s="509"/>
      <c r="L35" s="161"/>
      <c r="M35" s="505" t="s">
        <v>3</v>
      </c>
      <c r="N35" s="143"/>
      <c r="O35" s="547">
        <f>O11/2-P35</f>
        <v>418.8725</v>
      </c>
      <c r="P35" s="539">
        <f>O11/2/2</f>
        <v>418.8725</v>
      </c>
      <c r="Q35" s="475"/>
      <c r="R35" s="506"/>
      <c r="S35" s="507"/>
      <c r="T35" s="507"/>
      <c r="U35" s="508"/>
      <c r="V35" s="509"/>
      <c r="X35" s="505" t="s">
        <v>3</v>
      </c>
      <c r="Y35" s="143"/>
      <c r="Z35" s="547">
        <f>Z11/2-AA35</f>
        <v>384</v>
      </c>
      <c r="AA35" s="539">
        <f>Z11/2/2</f>
        <v>384</v>
      </c>
      <c r="AB35" s="84"/>
      <c r="AC35" s="84">
        <f t="shared" si="0"/>
        <v>768</v>
      </c>
      <c r="AD35" s="283">
        <v>0.5</v>
      </c>
    </row>
    <row r="36" spans="1:32" ht="15.75" thickBot="1" x14ac:dyDescent="0.3">
      <c r="A36" s="505" t="s">
        <v>3</v>
      </c>
      <c r="B36" s="143"/>
      <c r="C36" s="156"/>
      <c r="D36" s="547">
        <f>D9/2/2</f>
        <v>497.76749999999998</v>
      </c>
      <c r="E36" s="539">
        <f>D9/2-D36</f>
        <v>497.76749999999998</v>
      </c>
      <c r="F36" s="92"/>
      <c r="G36" s="124"/>
      <c r="H36" s="143"/>
      <c r="I36" s="143"/>
      <c r="J36" s="125"/>
      <c r="K36" s="156"/>
      <c r="L36" s="156"/>
      <c r="M36" s="529" t="s">
        <v>2</v>
      </c>
      <c r="N36" s="521"/>
      <c r="O36" s="549">
        <f>O13/2-P36</f>
        <v>184.745</v>
      </c>
      <c r="P36" s="550">
        <f>O13/2/2</f>
        <v>184.745</v>
      </c>
      <c r="Q36" s="475"/>
      <c r="R36" s="541"/>
      <c r="S36" s="541"/>
      <c r="T36" s="541"/>
      <c r="U36" s="541"/>
      <c r="X36" s="529" t="s">
        <v>2</v>
      </c>
      <c r="Y36" s="521"/>
      <c r="Z36" s="549">
        <f>Z13/2-AA36</f>
        <v>169.36500000000001</v>
      </c>
      <c r="AA36" s="550">
        <f>Z13/2/2</f>
        <v>169.36500000000001</v>
      </c>
      <c r="AB36" s="84"/>
      <c r="AC36" s="84">
        <f>Z36+AA36</f>
        <v>338.73</v>
      </c>
    </row>
    <row r="37" spans="1:32" ht="15.75" thickBot="1" x14ac:dyDescent="0.3">
      <c r="A37" s="529" t="s">
        <v>2</v>
      </c>
      <c r="B37" s="521"/>
      <c r="C37" s="530"/>
      <c r="D37" s="549">
        <f>D11/2-E37</f>
        <v>219.54250000000002</v>
      </c>
      <c r="E37" s="550">
        <f>D11/2/2</f>
        <v>219.54250000000002</v>
      </c>
      <c r="F37" s="92"/>
      <c r="G37" s="124"/>
      <c r="H37" s="143"/>
      <c r="I37" s="143"/>
      <c r="J37" s="125"/>
      <c r="K37" s="156"/>
      <c r="L37" s="156"/>
      <c r="M37" s="15"/>
      <c r="N37" s="15"/>
      <c r="O37" s="15"/>
      <c r="P37" s="15"/>
      <c r="Q37" s="161"/>
      <c r="R37" s="161"/>
      <c r="S37" s="161"/>
      <c r="T37" s="161"/>
      <c r="U37" s="161"/>
      <c r="AB37" s="216"/>
      <c r="AC37" s="216"/>
      <c r="AD37" s="216"/>
      <c r="AE37" s="216"/>
      <c r="AF37" s="216"/>
    </row>
    <row r="38" spans="1:32" ht="16.5" thickBot="1" x14ac:dyDescent="0.3">
      <c r="A38" s="91"/>
      <c r="B38" s="143"/>
      <c r="C38" s="156"/>
      <c r="D38" s="547"/>
      <c r="E38" s="547"/>
      <c r="F38" s="92"/>
      <c r="G38" s="124"/>
      <c r="H38" s="840" t="s">
        <v>120</v>
      </c>
      <c r="I38" s="841"/>
      <c r="J38" s="841"/>
      <c r="K38" s="842"/>
      <c r="L38" s="156"/>
      <c r="M38" s="840" t="s">
        <v>120</v>
      </c>
      <c r="N38" s="841"/>
      <c r="O38" s="841"/>
      <c r="P38" s="842"/>
      <c r="Q38" s="161"/>
      <c r="R38" s="840" t="s">
        <v>120</v>
      </c>
      <c r="S38" s="841"/>
      <c r="T38" s="841"/>
      <c r="U38" s="842"/>
      <c r="AB38" s="216"/>
      <c r="AC38" s="216"/>
      <c r="AD38" s="216"/>
      <c r="AE38" s="216"/>
      <c r="AF38" s="216"/>
    </row>
    <row r="39" spans="1:32" x14ac:dyDescent="0.25">
      <c r="F39" s="108"/>
      <c r="G39" s="15"/>
      <c r="H39" s="849" t="s">
        <v>195</v>
      </c>
      <c r="I39" s="850"/>
      <c r="J39" s="850"/>
      <c r="K39" s="851"/>
      <c r="L39" s="15"/>
      <c r="M39" s="943" t="s">
        <v>197</v>
      </c>
      <c r="N39" s="944"/>
      <c r="O39" s="944"/>
      <c r="P39" s="945"/>
      <c r="Q39" s="156"/>
      <c r="R39" s="846" t="s">
        <v>198</v>
      </c>
      <c r="S39" s="847"/>
      <c r="T39" s="847"/>
      <c r="U39" s="848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</row>
    <row r="40" spans="1:32" x14ac:dyDescent="0.25">
      <c r="A40" s="216"/>
      <c r="B40" s="216"/>
      <c r="C40" s="216"/>
      <c r="D40" s="216"/>
      <c r="E40" s="216"/>
      <c r="F40" s="216"/>
      <c r="G40" s="216"/>
      <c r="H40" s="629" t="s">
        <v>211</v>
      </c>
      <c r="I40" s="630"/>
      <c r="J40" s="630"/>
      <c r="K40" s="631"/>
      <c r="L40" s="216"/>
      <c r="M40" s="492" t="s">
        <v>199</v>
      </c>
      <c r="N40" s="61"/>
      <c r="O40" s="112" t="s">
        <v>0</v>
      </c>
      <c r="P40" s="486" t="s">
        <v>1</v>
      </c>
      <c r="Q40" s="216"/>
      <c r="R40" s="492" t="s">
        <v>199</v>
      </c>
      <c r="S40" s="61"/>
      <c r="T40" s="112" t="s">
        <v>0</v>
      </c>
      <c r="U40" s="486" t="s">
        <v>1</v>
      </c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</row>
    <row r="41" spans="1:32" ht="15.75" thickBot="1" x14ac:dyDescent="0.3">
      <c r="A41" s="216"/>
      <c r="B41" s="216"/>
      <c r="C41" s="216"/>
      <c r="D41" s="216"/>
      <c r="E41" s="216"/>
      <c r="F41" s="216"/>
      <c r="G41" s="216"/>
      <c r="H41" s="632" t="s">
        <v>194</v>
      </c>
      <c r="I41" s="633"/>
      <c r="J41" s="633"/>
      <c r="K41" s="634"/>
      <c r="L41" s="216"/>
      <c r="M41" s="485"/>
      <c r="N41" s="61"/>
      <c r="O41" s="178">
        <v>40360</v>
      </c>
      <c r="P41" s="511">
        <v>40360</v>
      </c>
      <c r="Q41" s="216"/>
      <c r="R41" s="485"/>
      <c r="S41" s="61"/>
      <c r="T41" s="180">
        <v>39630</v>
      </c>
      <c r="U41" s="532">
        <v>39630</v>
      </c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</row>
    <row r="42" spans="1:32" x14ac:dyDescent="0.25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485" t="s">
        <v>121</v>
      </c>
      <c r="N42" s="61"/>
      <c r="O42" s="547">
        <v>663.98</v>
      </c>
      <c r="P42" s="539">
        <v>174.8</v>
      </c>
      <c r="Q42" s="216"/>
      <c r="R42" s="485" t="s">
        <v>121</v>
      </c>
      <c r="S42" s="61"/>
      <c r="T42" s="547">
        <v>663.98</v>
      </c>
      <c r="U42" s="539">
        <v>174.8</v>
      </c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</row>
    <row r="43" spans="1:32" ht="15.75" thickBot="1" x14ac:dyDescent="0.3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485" t="s">
        <v>5</v>
      </c>
      <c r="N43" s="61"/>
      <c r="O43" s="547">
        <f>O42/2</f>
        <v>331.99</v>
      </c>
      <c r="P43" s="539">
        <f>P42/2</f>
        <v>87.4</v>
      </c>
      <c r="Q43" s="216"/>
      <c r="R43" s="485" t="s">
        <v>5</v>
      </c>
      <c r="S43" s="61"/>
      <c r="T43" s="547">
        <v>331.99</v>
      </c>
      <c r="U43" s="539">
        <f>U42/2</f>
        <v>87.4</v>
      </c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</row>
    <row r="44" spans="1:32" ht="15.75" thickBot="1" x14ac:dyDescent="0.3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834" t="s">
        <v>140</v>
      </c>
      <c r="N44" s="835"/>
      <c r="O44" s="835"/>
      <c r="P44" s="836"/>
      <c r="R44" s="834" t="s">
        <v>140</v>
      </c>
      <c r="S44" s="835"/>
      <c r="T44" s="835"/>
      <c r="U44" s="836"/>
      <c r="V44" s="573"/>
      <c r="W44" s="572"/>
      <c r="X44" s="216"/>
      <c r="Y44" s="216"/>
      <c r="Z44" s="216"/>
      <c r="AA44" s="216"/>
      <c r="AB44" s="216"/>
      <c r="AC44" s="216"/>
      <c r="AD44" s="216"/>
      <c r="AE44" s="216"/>
      <c r="AF44" s="216"/>
    </row>
    <row r="45" spans="1:32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492" t="s">
        <v>107</v>
      </c>
      <c r="N45" s="142"/>
      <c r="O45" s="551">
        <v>331.99</v>
      </c>
      <c r="P45" s="552">
        <v>87.4</v>
      </c>
      <c r="Q45" s="216"/>
      <c r="R45" s="492" t="s">
        <v>107</v>
      </c>
      <c r="S45" s="61"/>
      <c r="T45" s="547">
        <v>331.99</v>
      </c>
      <c r="U45" s="539">
        <f>U43</f>
        <v>87.4</v>
      </c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</row>
    <row r="46" spans="1:32" x14ac:dyDescent="0.2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505"/>
      <c r="N46" s="143"/>
      <c r="O46" s="547"/>
      <c r="P46" s="539"/>
      <c r="Q46" s="216"/>
      <c r="R46" s="501"/>
      <c r="S46" s="143"/>
      <c r="T46" s="556"/>
      <c r="U46" s="557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</row>
    <row r="47" spans="1:32" x14ac:dyDescent="0.2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492" t="s">
        <v>108</v>
      </c>
      <c r="N47" s="143"/>
      <c r="O47" s="547">
        <f>O43*0.87</f>
        <v>288.8313</v>
      </c>
      <c r="P47" s="539">
        <f>P43*87%</f>
        <v>76.038000000000011</v>
      </c>
      <c r="Q47" s="216"/>
      <c r="R47" s="492" t="s">
        <v>108</v>
      </c>
      <c r="S47" s="143"/>
      <c r="T47" s="547">
        <v>288.83</v>
      </c>
      <c r="U47" s="539">
        <f>U43*87%</f>
        <v>76.038000000000011</v>
      </c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</row>
    <row r="48" spans="1:32" x14ac:dyDescent="0.25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525"/>
      <c r="N48" s="144"/>
      <c r="O48" s="553"/>
      <c r="P48" s="554"/>
      <c r="Q48" s="216"/>
      <c r="R48" s="525"/>
      <c r="S48" s="144"/>
      <c r="T48" s="553"/>
      <c r="U48" s="554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</row>
    <row r="49" spans="1:32" x14ac:dyDescent="0.25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527" t="s">
        <v>110</v>
      </c>
      <c r="N49" s="144"/>
      <c r="O49" s="547">
        <f>O43*75%</f>
        <v>248.99250000000001</v>
      </c>
      <c r="P49" s="555">
        <f>P43*75%</f>
        <v>65.550000000000011</v>
      </c>
      <c r="Q49" s="216"/>
      <c r="R49" s="527" t="s">
        <v>110</v>
      </c>
      <c r="S49" s="144"/>
      <c r="T49" s="547">
        <v>248.99</v>
      </c>
      <c r="U49" s="539">
        <f>U43*75%</f>
        <v>65.550000000000011</v>
      </c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</row>
    <row r="50" spans="1:32" x14ac:dyDescent="0.25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505"/>
      <c r="N50" s="143"/>
      <c r="O50" s="556"/>
      <c r="P50" s="557"/>
      <c r="Q50" s="216"/>
      <c r="R50" s="501"/>
      <c r="S50" s="143"/>
      <c r="T50" s="556"/>
      <c r="U50" s="557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</row>
    <row r="51" spans="1:32" x14ac:dyDescent="0.25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527" t="s">
        <v>109</v>
      </c>
      <c r="N51" s="143"/>
      <c r="O51" s="558">
        <f>O43*0.62</f>
        <v>205.8338</v>
      </c>
      <c r="P51" s="548">
        <f>P43*62%</f>
        <v>54.188000000000002</v>
      </c>
      <c r="Q51" s="216"/>
      <c r="R51" s="527" t="s">
        <v>109</v>
      </c>
      <c r="S51" s="143"/>
      <c r="T51" s="558">
        <v>205.83</v>
      </c>
      <c r="U51" s="548">
        <f>U43*62%</f>
        <v>54.188000000000002</v>
      </c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</row>
    <row r="52" spans="1:32" x14ac:dyDescent="0.25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503"/>
      <c r="N52" s="145"/>
      <c r="O52" s="556"/>
      <c r="P52" s="559"/>
      <c r="Q52" s="216"/>
      <c r="R52" s="503"/>
      <c r="S52" s="145"/>
      <c r="T52" s="556"/>
      <c r="U52" s="559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</row>
    <row r="53" spans="1:32" ht="15.75" thickBot="1" x14ac:dyDescent="0.3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531" t="s">
        <v>106</v>
      </c>
      <c r="N53" s="507"/>
      <c r="O53" s="549">
        <f>O43*0.5</f>
        <v>165.995</v>
      </c>
      <c r="P53" s="550">
        <f>P43*50%</f>
        <v>43.7</v>
      </c>
      <c r="Q53" s="216"/>
      <c r="R53" s="531" t="s">
        <v>106</v>
      </c>
      <c r="S53" s="507"/>
      <c r="T53" s="549">
        <v>166</v>
      </c>
      <c r="U53" s="550">
        <f>U43*50%</f>
        <v>43.7</v>
      </c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</row>
    <row r="54" spans="1:32" x14ac:dyDescent="0.25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</row>
    <row r="55" spans="1:32" x14ac:dyDescent="0.25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</row>
    <row r="56" spans="1:32" x14ac:dyDescent="0.25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</row>
    <row r="57" spans="1:32" x14ac:dyDescent="0.25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</row>
    <row r="58" spans="1:32" x14ac:dyDescent="0.2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1:32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1:32" x14ac:dyDescent="0.25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</row>
    <row r="61" spans="1:32" x14ac:dyDescent="0.2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</row>
    <row r="62" spans="1:32" x14ac:dyDescent="0.25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</row>
    <row r="63" spans="1:32" x14ac:dyDescent="0.25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</row>
    <row r="64" spans="1:32" x14ac:dyDescent="0.25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</row>
    <row r="65" spans="1:32" x14ac:dyDescent="0.25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</row>
    <row r="66" spans="1:32" x14ac:dyDescent="0.25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</row>
    <row r="67" spans="1:32" x14ac:dyDescent="0.25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</row>
    <row r="68" spans="1:32" x14ac:dyDescent="0.25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</row>
    <row r="69" spans="1:32" x14ac:dyDescent="0.25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</row>
    <row r="70" spans="1:32" x14ac:dyDescent="0.25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</row>
    <row r="71" spans="1:32" x14ac:dyDescent="0.25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</row>
    <row r="72" spans="1:32" x14ac:dyDescent="0.25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</row>
    <row r="73" spans="1:32" x14ac:dyDescent="0.25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</row>
    <row r="74" spans="1:32" x14ac:dyDescent="0.25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</row>
    <row r="75" spans="1:32" x14ac:dyDescent="0.25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</row>
    <row r="76" spans="1:32" x14ac:dyDescent="0.25">
      <c r="A76" s="216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</row>
    <row r="77" spans="1:32" x14ac:dyDescent="0.25">
      <c r="A77" s="216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</row>
    <row r="78" spans="1:32" x14ac:dyDescent="0.25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AB78" s="216"/>
      <c r="AC78" s="216"/>
      <c r="AD78" s="216"/>
      <c r="AE78" s="216"/>
      <c r="AF78" s="216"/>
    </row>
    <row r="79" spans="1:32" x14ac:dyDescent="0.25">
      <c r="AB79" s="216"/>
      <c r="AC79" s="216"/>
      <c r="AD79" s="216"/>
      <c r="AE79" s="216"/>
      <c r="AF79" s="216"/>
    </row>
    <row r="80" spans="1:32" x14ac:dyDescent="0.25">
      <c r="AB80" s="216"/>
      <c r="AC80" s="216"/>
      <c r="AD80" s="216"/>
      <c r="AE80" s="216"/>
      <c r="AF80" s="216"/>
    </row>
    <row r="81" spans="28:32" x14ac:dyDescent="0.25">
      <c r="AB81" s="216"/>
      <c r="AC81" s="216"/>
      <c r="AD81" s="216"/>
      <c r="AE81" s="216"/>
      <c r="AF81" s="216"/>
    </row>
    <row r="82" spans="28:32" x14ac:dyDescent="0.25">
      <c r="AB82" s="216"/>
      <c r="AC82" s="216"/>
      <c r="AD82" s="216"/>
      <c r="AE82" s="216"/>
      <c r="AF82" s="216"/>
    </row>
    <row r="83" spans="28:32" x14ac:dyDescent="0.25">
      <c r="AB83" s="216"/>
      <c r="AC83" s="216"/>
      <c r="AD83" s="216"/>
      <c r="AE83" s="216"/>
      <c r="AF83" s="216"/>
    </row>
    <row r="84" spans="28:32" x14ac:dyDescent="0.25">
      <c r="AB84" s="216"/>
      <c r="AC84" s="216"/>
      <c r="AD84" s="216"/>
      <c r="AE84" s="216"/>
      <c r="AF84" s="216"/>
    </row>
    <row r="85" spans="28:32" x14ac:dyDescent="0.25">
      <c r="AB85" s="216"/>
      <c r="AC85" s="216"/>
      <c r="AD85" s="216"/>
      <c r="AE85" s="216"/>
      <c r="AF85" s="216"/>
    </row>
    <row r="86" spans="28:32" x14ac:dyDescent="0.25">
      <c r="AB86" s="216"/>
      <c r="AC86" s="216"/>
      <c r="AD86" s="216"/>
      <c r="AE86" s="216"/>
      <c r="AF86" s="216"/>
    </row>
    <row r="87" spans="28:32" x14ac:dyDescent="0.25">
      <c r="AB87" s="216"/>
      <c r="AC87" s="216"/>
      <c r="AD87" s="216"/>
      <c r="AE87" s="216"/>
      <c r="AF87" s="216"/>
    </row>
    <row r="88" spans="28:32" x14ac:dyDescent="0.25">
      <c r="AB88" s="216"/>
      <c r="AC88" s="216"/>
      <c r="AD88" s="216"/>
      <c r="AE88" s="216"/>
      <c r="AF88" s="216"/>
    </row>
    <row r="89" spans="28:32" x14ac:dyDescent="0.25">
      <c r="AB89" s="216"/>
      <c r="AC89" s="216"/>
      <c r="AD89" s="216"/>
      <c r="AE89" s="216"/>
      <c r="AF89" s="216"/>
    </row>
    <row r="90" spans="28:32" x14ac:dyDescent="0.25">
      <c r="AB90" s="216"/>
      <c r="AC90" s="216"/>
      <c r="AD90" s="216"/>
      <c r="AE90" s="216"/>
      <c r="AF90" s="216"/>
    </row>
    <row r="91" spans="28:32" x14ac:dyDescent="0.25">
      <c r="AB91" s="216"/>
      <c r="AC91" s="216"/>
      <c r="AD91" s="216"/>
      <c r="AE91" s="216"/>
      <c r="AF91" s="216"/>
    </row>
    <row r="92" spans="28:32" x14ac:dyDescent="0.25">
      <c r="AB92" s="216"/>
      <c r="AC92" s="216"/>
      <c r="AD92" s="216"/>
      <c r="AE92" s="216"/>
      <c r="AF92" s="216"/>
    </row>
    <row r="93" spans="28:32" x14ac:dyDescent="0.25">
      <c r="AB93" s="216"/>
      <c r="AC93" s="216"/>
      <c r="AD93" s="216"/>
      <c r="AE93" s="216"/>
      <c r="AF93" s="216"/>
    </row>
    <row r="94" spans="28:32" x14ac:dyDescent="0.25">
      <c r="AB94" s="216"/>
      <c r="AC94" s="216"/>
      <c r="AD94" s="216"/>
      <c r="AE94" s="216"/>
      <c r="AF94" s="216"/>
    </row>
    <row r="95" spans="28:32" x14ac:dyDescent="0.25">
      <c r="AB95" s="216"/>
      <c r="AC95" s="216"/>
      <c r="AD95" s="216"/>
      <c r="AE95" s="216"/>
      <c r="AF95" s="216"/>
    </row>
    <row r="96" spans="28:32" x14ac:dyDescent="0.25">
      <c r="AB96" s="216"/>
      <c r="AC96" s="216"/>
      <c r="AD96" s="216"/>
      <c r="AE96" s="216"/>
      <c r="AF96" s="216"/>
    </row>
    <row r="97" spans="28:32" x14ac:dyDescent="0.25">
      <c r="AB97" s="216"/>
      <c r="AC97" s="216"/>
      <c r="AD97" s="216"/>
      <c r="AE97" s="216"/>
      <c r="AF97" s="216"/>
    </row>
    <row r="98" spans="28:32" x14ac:dyDescent="0.25">
      <c r="AB98" s="216"/>
      <c r="AC98" s="216"/>
      <c r="AD98" s="216"/>
      <c r="AE98" s="216"/>
      <c r="AF98" s="216"/>
    </row>
    <row r="99" spans="28:32" x14ac:dyDescent="0.25">
      <c r="AB99" s="216"/>
      <c r="AC99" s="216"/>
      <c r="AD99" s="216"/>
      <c r="AE99" s="216"/>
      <c r="AF99" s="216"/>
    </row>
    <row r="100" spans="28:32" x14ac:dyDescent="0.25">
      <c r="AB100" s="216"/>
      <c r="AC100" s="216"/>
      <c r="AD100" s="216"/>
      <c r="AE100" s="216"/>
      <c r="AF100" s="216"/>
    </row>
    <row r="101" spans="28:32" x14ac:dyDescent="0.25">
      <c r="AB101" s="216"/>
      <c r="AC101" s="216"/>
      <c r="AD101" s="216"/>
      <c r="AE101" s="216"/>
      <c r="AF101" s="216"/>
    </row>
    <row r="102" spans="28:32" x14ac:dyDescent="0.25">
      <c r="AB102" s="216"/>
      <c r="AC102" s="216"/>
      <c r="AD102" s="216"/>
      <c r="AE102" s="216"/>
      <c r="AF102" s="216"/>
    </row>
    <row r="103" spans="28:32" x14ac:dyDescent="0.25">
      <c r="AB103" s="216"/>
      <c r="AC103" s="216"/>
      <c r="AD103" s="216"/>
      <c r="AE103" s="216"/>
      <c r="AF103" s="216"/>
    </row>
    <row r="104" spans="28:32" x14ac:dyDescent="0.25">
      <c r="AB104" s="216"/>
      <c r="AC104" s="216"/>
      <c r="AD104" s="216"/>
      <c r="AE104" s="216"/>
      <c r="AF104" s="216"/>
    </row>
    <row r="105" spans="28:32" x14ac:dyDescent="0.25">
      <c r="AB105" s="216"/>
      <c r="AC105" s="216"/>
      <c r="AD105" s="216"/>
      <c r="AE105" s="216"/>
      <c r="AF105" s="216"/>
    </row>
    <row r="106" spans="28:32" x14ac:dyDescent="0.25">
      <c r="AB106" s="216"/>
      <c r="AC106" s="216"/>
      <c r="AD106" s="216"/>
      <c r="AE106" s="216"/>
      <c r="AF106" s="216"/>
    </row>
    <row r="107" spans="28:32" x14ac:dyDescent="0.25">
      <c r="AB107" s="216"/>
      <c r="AC107" s="216"/>
      <c r="AD107" s="216"/>
      <c r="AE107" s="216"/>
      <c r="AF107" s="216"/>
    </row>
    <row r="108" spans="28:32" x14ac:dyDescent="0.25">
      <c r="AB108" s="216"/>
      <c r="AC108" s="216"/>
      <c r="AD108" s="216"/>
      <c r="AE108" s="216"/>
      <c r="AF108" s="216"/>
    </row>
    <row r="109" spans="28:32" x14ac:dyDescent="0.25">
      <c r="AB109" s="216"/>
      <c r="AC109" s="216"/>
      <c r="AD109" s="216"/>
      <c r="AE109" s="216"/>
      <c r="AF109" s="216"/>
    </row>
    <row r="110" spans="28:32" x14ac:dyDescent="0.25">
      <c r="AB110" s="216"/>
      <c r="AC110" s="216"/>
      <c r="AD110" s="216"/>
      <c r="AE110" s="216"/>
      <c r="AF110" s="216"/>
    </row>
    <row r="111" spans="28:32" x14ac:dyDescent="0.25">
      <c r="AB111" s="216"/>
      <c r="AC111" s="216"/>
      <c r="AD111" s="216"/>
      <c r="AE111" s="216"/>
      <c r="AF111" s="216"/>
    </row>
    <row r="112" spans="28:32" x14ac:dyDescent="0.25">
      <c r="AB112" s="216"/>
      <c r="AC112" s="216"/>
      <c r="AD112" s="216"/>
      <c r="AE112" s="216"/>
      <c r="AF112" s="216"/>
    </row>
    <row r="113" spans="28:32" x14ac:dyDescent="0.25">
      <c r="AB113" s="216"/>
      <c r="AC113" s="216"/>
      <c r="AD113" s="216"/>
      <c r="AE113" s="216"/>
      <c r="AF113" s="216"/>
    </row>
    <row r="114" spans="28:32" x14ac:dyDescent="0.25">
      <c r="AB114" s="216"/>
      <c r="AC114" s="216"/>
      <c r="AD114" s="216"/>
      <c r="AE114" s="216"/>
      <c r="AF114" s="216"/>
    </row>
    <row r="115" spans="28:32" x14ac:dyDescent="0.25">
      <c r="AB115" s="216"/>
      <c r="AC115" s="216"/>
      <c r="AD115" s="216"/>
      <c r="AE115" s="216"/>
      <c r="AF115" s="216"/>
    </row>
    <row r="116" spans="28:32" x14ac:dyDescent="0.25">
      <c r="AB116" s="216"/>
      <c r="AC116" s="216"/>
      <c r="AD116" s="216"/>
      <c r="AE116" s="216"/>
      <c r="AF116" s="216"/>
    </row>
    <row r="117" spans="28:32" x14ac:dyDescent="0.25">
      <c r="AB117" s="216"/>
      <c r="AC117" s="216"/>
      <c r="AD117" s="216"/>
      <c r="AE117" s="216"/>
      <c r="AF117" s="216"/>
    </row>
    <row r="118" spans="28:32" x14ac:dyDescent="0.25">
      <c r="AB118" s="216"/>
      <c r="AC118" s="216"/>
      <c r="AD118" s="216"/>
      <c r="AE118" s="216"/>
      <c r="AF118" s="216"/>
    </row>
    <row r="119" spans="28:32" x14ac:dyDescent="0.25">
      <c r="AB119" s="216"/>
      <c r="AC119" s="216"/>
      <c r="AD119" s="216"/>
      <c r="AE119" s="216"/>
      <c r="AF119" s="216"/>
    </row>
    <row r="120" spans="28:32" x14ac:dyDescent="0.25">
      <c r="AB120" s="216"/>
      <c r="AC120" s="216"/>
      <c r="AD120" s="216"/>
      <c r="AE120" s="216"/>
      <c r="AF120" s="216"/>
    </row>
    <row r="121" spans="28:32" x14ac:dyDescent="0.25">
      <c r="AB121" s="216"/>
      <c r="AC121" s="216"/>
      <c r="AD121" s="216"/>
      <c r="AE121" s="216"/>
      <c r="AF121" s="216"/>
    </row>
    <row r="122" spans="28:32" x14ac:dyDescent="0.25">
      <c r="AB122" s="216"/>
      <c r="AC122" s="216"/>
      <c r="AD122" s="216"/>
      <c r="AE122" s="216"/>
      <c r="AF122" s="216"/>
    </row>
    <row r="123" spans="28:32" x14ac:dyDescent="0.25">
      <c r="AB123" s="216"/>
      <c r="AC123" s="216"/>
      <c r="AD123" s="216"/>
      <c r="AE123" s="216"/>
      <c r="AF123" s="216"/>
    </row>
    <row r="124" spans="28:32" x14ac:dyDescent="0.25">
      <c r="AB124" s="216"/>
      <c r="AC124" s="216"/>
      <c r="AD124" s="216"/>
      <c r="AE124" s="216"/>
      <c r="AF124" s="216"/>
    </row>
    <row r="125" spans="28:32" x14ac:dyDescent="0.25">
      <c r="AB125" s="216"/>
      <c r="AC125" s="216"/>
      <c r="AD125" s="216"/>
      <c r="AE125" s="216"/>
      <c r="AF125" s="216"/>
    </row>
    <row r="126" spans="28:32" x14ac:dyDescent="0.25">
      <c r="AB126" s="216"/>
      <c r="AC126" s="216"/>
      <c r="AD126" s="216"/>
      <c r="AE126" s="216"/>
      <c r="AF126" s="216"/>
    </row>
    <row r="127" spans="28:32" x14ac:dyDescent="0.25">
      <c r="AB127" s="216"/>
      <c r="AC127" s="216"/>
      <c r="AD127" s="216"/>
      <c r="AE127" s="216"/>
      <c r="AF127" s="216"/>
    </row>
    <row r="128" spans="28:32" x14ac:dyDescent="0.25">
      <c r="AB128" s="216"/>
      <c r="AC128" s="216"/>
      <c r="AD128" s="216"/>
      <c r="AE128" s="216"/>
      <c r="AF128" s="216"/>
    </row>
    <row r="129" spans="28:32" x14ac:dyDescent="0.25">
      <c r="AB129" s="216"/>
      <c r="AC129" s="216"/>
      <c r="AD129" s="216"/>
      <c r="AE129" s="216"/>
      <c r="AF129" s="216"/>
    </row>
    <row r="130" spans="28:32" x14ac:dyDescent="0.25">
      <c r="AB130" s="216"/>
      <c r="AC130" s="216"/>
      <c r="AD130" s="216"/>
      <c r="AE130" s="216"/>
      <c r="AF130" s="216"/>
    </row>
    <row r="131" spans="28:32" x14ac:dyDescent="0.25">
      <c r="AB131" s="216"/>
      <c r="AC131" s="216"/>
      <c r="AD131" s="216"/>
      <c r="AE131" s="216"/>
      <c r="AF131" s="216"/>
    </row>
    <row r="132" spans="28:32" x14ac:dyDescent="0.25">
      <c r="AB132" s="216"/>
      <c r="AC132" s="216"/>
      <c r="AD132" s="216"/>
      <c r="AE132" s="216"/>
      <c r="AF132" s="216"/>
    </row>
    <row r="133" spans="28:32" x14ac:dyDescent="0.25">
      <c r="AB133" s="216"/>
      <c r="AC133" s="216"/>
      <c r="AD133" s="216"/>
      <c r="AE133" s="216"/>
      <c r="AF133" s="216"/>
    </row>
    <row r="134" spans="28:32" x14ac:dyDescent="0.25">
      <c r="AB134" s="216"/>
      <c r="AC134" s="216"/>
      <c r="AD134" s="216"/>
      <c r="AE134" s="216"/>
      <c r="AF134" s="216"/>
    </row>
    <row r="135" spans="28:32" x14ac:dyDescent="0.25">
      <c r="AB135" s="216"/>
      <c r="AC135" s="216"/>
      <c r="AD135" s="216"/>
      <c r="AE135" s="216"/>
      <c r="AF135" s="216"/>
    </row>
    <row r="136" spans="28:32" x14ac:dyDescent="0.25">
      <c r="AB136" s="216"/>
      <c r="AC136" s="216"/>
      <c r="AD136" s="216"/>
      <c r="AE136" s="216"/>
      <c r="AF136" s="216"/>
    </row>
    <row r="137" spans="28:32" x14ac:dyDescent="0.25">
      <c r="AB137" s="216"/>
      <c r="AC137" s="216"/>
      <c r="AD137" s="216"/>
      <c r="AE137" s="216"/>
      <c r="AF137" s="216"/>
    </row>
    <row r="138" spans="28:32" x14ac:dyDescent="0.25">
      <c r="AB138" s="216"/>
      <c r="AC138" s="216"/>
      <c r="AD138" s="216"/>
      <c r="AE138" s="216"/>
      <c r="AF138" s="216"/>
    </row>
    <row r="139" spans="28:32" x14ac:dyDescent="0.25">
      <c r="AB139" s="216"/>
      <c r="AC139" s="216"/>
      <c r="AD139" s="216"/>
      <c r="AE139" s="216"/>
      <c r="AF139" s="216"/>
    </row>
    <row r="140" spans="28:32" x14ac:dyDescent="0.25">
      <c r="AB140" s="216"/>
      <c r="AC140" s="216"/>
      <c r="AD140" s="216"/>
      <c r="AE140" s="216"/>
      <c r="AF140" s="216"/>
    </row>
    <row r="141" spans="28:32" x14ac:dyDescent="0.25">
      <c r="AB141" s="216"/>
      <c r="AC141" s="216"/>
      <c r="AD141" s="216"/>
      <c r="AE141" s="216"/>
      <c r="AF141" s="216"/>
    </row>
    <row r="142" spans="28:32" x14ac:dyDescent="0.25">
      <c r="AB142" s="216"/>
      <c r="AC142" s="216"/>
      <c r="AD142" s="216"/>
      <c r="AE142" s="216"/>
      <c r="AF142" s="216"/>
    </row>
    <row r="143" spans="28:32" x14ac:dyDescent="0.25">
      <c r="AB143" s="216"/>
      <c r="AC143" s="216"/>
      <c r="AD143" s="216"/>
      <c r="AE143" s="216"/>
      <c r="AF143" s="216"/>
    </row>
    <row r="144" spans="28:32" x14ac:dyDescent="0.25">
      <c r="AB144" s="216"/>
      <c r="AC144" s="216"/>
      <c r="AD144" s="216"/>
      <c r="AE144" s="216"/>
      <c r="AF144" s="216"/>
    </row>
    <row r="145" spans="28:32" x14ac:dyDescent="0.25">
      <c r="AB145" s="216"/>
      <c r="AC145" s="216"/>
      <c r="AD145" s="216"/>
      <c r="AE145" s="216"/>
      <c r="AF145" s="216"/>
    </row>
    <row r="146" spans="28:32" x14ac:dyDescent="0.25">
      <c r="AB146" s="216"/>
      <c r="AC146" s="216"/>
      <c r="AD146" s="216"/>
      <c r="AE146" s="216"/>
      <c r="AF146" s="216"/>
    </row>
    <row r="147" spans="28:32" x14ac:dyDescent="0.25">
      <c r="AB147" s="216"/>
      <c r="AC147" s="216"/>
      <c r="AD147" s="216"/>
      <c r="AE147" s="216"/>
      <c r="AF147" s="216"/>
    </row>
    <row r="148" spans="28:32" x14ac:dyDescent="0.25">
      <c r="AB148" s="216"/>
      <c r="AC148" s="216"/>
      <c r="AD148" s="216"/>
      <c r="AE148" s="216"/>
      <c r="AF148" s="216"/>
    </row>
    <row r="149" spans="28:32" x14ac:dyDescent="0.25">
      <c r="AB149" s="216"/>
      <c r="AC149" s="216"/>
      <c r="AD149" s="216"/>
      <c r="AE149" s="216"/>
      <c r="AF149" s="216"/>
    </row>
    <row r="150" spans="28:32" x14ac:dyDescent="0.25">
      <c r="AB150" s="216"/>
      <c r="AC150" s="216"/>
      <c r="AD150" s="216"/>
      <c r="AE150" s="216"/>
      <c r="AF150" s="216"/>
    </row>
    <row r="151" spans="28:32" x14ac:dyDescent="0.25">
      <c r="AB151" s="216"/>
      <c r="AC151" s="216"/>
      <c r="AD151" s="216"/>
      <c r="AE151" s="216"/>
      <c r="AF151" s="216"/>
    </row>
    <row r="152" spans="28:32" x14ac:dyDescent="0.25">
      <c r="AB152" s="216"/>
      <c r="AC152" s="216"/>
      <c r="AD152" s="216"/>
      <c r="AE152" s="216"/>
      <c r="AF152" s="216"/>
    </row>
    <row r="153" spans="28:32" x14ac:dyDescent="0.25">
      <c r="AB153" s="216"/>
      <c r="AC153" s="216"/>
      <c r="AD153" s="216"/>
      <c r="AE153" s="216"/>
      <c r="AF153" s="216"/>
    </row>
    <row r="154" spans="28:32" x14ac:dyDescent="0.25">
      <c r="AB154" s="216"/>
      <c r="AC154" s="216"/>
      <c r="AD154" s="216"/>
      <c r="AE154" s="216"/>
      <c r="AF154" s="216"/>
    </row>
    <row r="155" spans="28:32" x14ac:dyDescent="0.25">
      <c r="AB155" s="216"/>
      <c r="AC155" s="216"/>
      <c r="AD155" s="216"/>
      <c r="AE155" s="216"/>
      <c r="AF155" s="216"/>
    </row>
    <row r="156" spans="28:32" x14ac:dyDescent="0.25">
      <c r="AB156" s="216"/>
      <c r="AC156" s="216"/>
      <c r="AD156" s="216"/>
      <c r="AE156" s="216"/>
      <c r="AF156" s="216"/>
    </row>
    <row r="157" spans="28:32" x14ac:dyDescent="0.25">
      <c r="AB157" s="216"/>
      <c r="AC157" s="216"/>
      <c r="AD157" s="216"/>
      <c r="AE157" s="216"/>
      <c r="AF157" s="216"/>
    </row>
    <row r="158" spans="28:32" x14ac:dyDescent="0.25">
      <c r="AB158" s="216"/>
      <c r="AC158" s="216"/>
      <c r="AD158" s="216"/>
      <c r="AE158" s="216"/>
      <c r="AF158" s="216"/>
    </row>
    <row r="159" spans="28:32" x14ac:dyDescent="0.25">
      <c r="AB159" s="216"/>
      <c r="AC159" s="216"/>
      <c r="AD159" s="216"/>
      <c r="AE159" s="216"/>
      <c r="AF159" s="216"/>
    </row>
    <row r="160" spans="28:32" x14ac:dyDescent="0.25">
      <c r="AB160" s="216"/>
      <c r="AC160" s="216"/>
      <c r="AD160" s="216"/>
      <c r="AE160" s="216"/>
      <c r="AF160" s="216"/>
    </row>
    <row r="161" spans="28:32" x14ac:dyDescent="0.25">
      <c r="AB161" s="216"/>
      <c r="AC161" s="216"/>
      <c r="AD161" s="216"/>
      <c r="AE161" s="216"/>
      <c r="AF161" s="216"/>
    </row>
    <row r="162" spans="28:32" x14ac:dyDescent="0.25">
      <c r="AB162" s="216"/>
      <c r="AC162" s="216"/>
      <c r="AD162" s="216"/>
      <c r="AE162" s="216"/>
      <c r="AF162" s="216"/>
    </row>
    <row r="163" spans="28:32" x14ac:dyDescent="0.25">
      <c r="AB163" s="216"/>
      <c r="AC163" s="216"/>
      <c r="AD163" s="216"/>
      <c r="AE163" s="216"/>
      <c r="AF163" s="216"/>
    </row>
    <row r="164" spans="28:32" x14ac:dyDescent="0.25">
      <c r="AB164" s="216"/>
      <c r="AC164" s="216"/>
      <c r="AD164" s="216"/>
      <c r="AE164" s="216"/>
      <c r="AF164" s="216"/>
    </row>
    <row r="165" spans="28:32" x14ac:dyDescent="0.25">
      <c r="AB165" s="216"/>
      <c r="AC165" s="216"/>
      <c r="AD165" s="216"/>
      <c r="AE165" s="216"/>
      <c r="AF165" s="216"/>
    </row>
    <row r="166" spans="28:32" x14ac:dyDescent="0.25">
      <c r="AB166" s="216"/>
      <c r="AC166" s="216"/>
      <c r="AD166" s="216"/>
      <c r="AE166" s="216"/>
      <c r="AF166" s="216"/>
    </row>
    <row r="167" spans="28:32" x14ac:dyDescent="0.25">
      <c r="AB167" s="216"/>
      <c r="AC167" s="216"/>
      <c r="AD167" s="216"/>
      <c r="AE167" s="216"/>
      <c r="AF167" s="216"/>
    </row>
    <row r="168" spans="28:32" x14ac:dyDescent="0.25">
      <c r="AB168" s="216"/>
      <c r="AC168" s="216"/>
      <c r="AD168" s="216"/>
      <c r="AE168" s="216"/>
      <c r="AF168" s="216"/>
    </row>
    <row r="169" spans="28:32" x14ac:dyDescent="0.25">
      <c r="AB169" s="216"/>
      <c r="AC169" s="216"/>
      <c r="AD169" s="216"/>
      <c r="AE169" s="216"/>
      <c r="AF169" s="216"/>
    </row>
    <row r="170" spans="28:32" x14ac:dyDescent="0.25">
      <c r="AB170" s="216"/>
      <c r="AC170" s="216"/>
      <c r="AD170" s="216"/>
      <c r="AE170" s="216"/>
      <c r="AF170" s="216"/>
    </row>
    <row r="171" spans="28:32" x14ac:dyDescent="0.25">
      <c r="AB171" s="216"/>
      <c r="AC171" s="216"/>
      <c r="AD171" s="216"/>
      <c r="AE171" s="216"/>
      <c r="AF171" s="216"/>
    </row>
  </sheetData>
  <mergeCells count="43">
    <mergeCell ref="R32:V32"/>
    <mergeCell ref="R33:V33"/>
    <mergeCell ref="M39:P39"/>
    <mergeCell ref="M44:P44"/>
    <mergeCell ref="R44:U44"/>
    <mergeCell ref="M38:P38"/>
    <mergeCell ref="R34:V34"/>
    <mergeCell ref="R39:U39"/>
    <mergeCell ref="H39:K39"/>
    <mergeCell ref="R38:U38"/>
    <mergeCell ref="H38:K38"/>
    <mergeCell ref="A1:AA1"/>
    <mergeCell ref="G34:K34"/>
    <mergeCell ref="M7:P7"/>
    <mergeCell ref="M8:P8"/>
    <mergeCell ref="M17:P17"/>
    <mergeCell ref="G26:K26"/>
    <mergeCell ref="G32:K32"/>
    <mergeCell ref="G33:K33"/>
    <mergeCell ref="H9:I9"/>
    <mergeCell ref="G7:K7"/>
    <mergeCell ref="G18:K18"/>
    <mergeCell ref="G19:K20"/>
    <mergeCell ref="G8:K8"/>
    <mergeCell ref="A3:E3"/>
    <mergeCell ref="G4:P4"/>
    <mergeCell ref="G5:P5"/>
    <mergeCell ref="A17:E17"/>
    <mergeCell ref="A13:E13"/>
    <mergeCell ref="B6:C6"/>
    <mergeCell ref="A12:E12"/>
    <mergeCell ref="R26:V26"/>
    <mergeCell ref="R7:V7"/>
    <mergeCell ref="R8:V8"/>
    <mergeCell ref="S9:T9"/>
    <mergeCell ref="X7:AA7"/>
    <mergeCell ref="X8:AA8"/>
    <mergeCell ref="X17:AA17"/>
    <mergeCell ref="AE20:AI20"/>
    <mergeCell ref="R4:AA4"/>
    <mergeCell ref="R5:AA5"/>
    <mergeCell ref="R18:V18"/>
    <mergeCell ref="R19:V20"/>
  </mergeCells>
  <printOptions horizontalCentered="1" verticalCentered="1"/>
  <pageMargins left="0.2" right="0.14000000000000001" top="0.17" bottom="0.17" header="0.17" footer="0.17"/>
  <pageSetup paperSize="5" scale="73" orientation="landscape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FFFF"/>
  </sheetPr>
  <dimension ref="A1:V39"/>
  <sheetViews>
    <sheetView workbookViewId="0">
      <selection activeCell="F30" sqref="F30"/>
    </sheetView>
  </sheetViews>
  <sheetFormatPr defaultRowHeight="15" x14ac:dyDescent="0.25"/>
  <cols>
    <col min="1" max="1" width="7.7109375" customWidth="1"/>
    <col min="2" max="2" width="7.85546875" customWidth="1"/>
    <col min="3" max="3" width="9.28515625" customWidth="1"/>
    <col min="4" max="4" width="9.140625" bestFit="1" customWidth="1"/>
    <col min="5" max="5" width="10.5703125" customWidth="1"/>
    <col min="6" max="6" width="4.85546875" customWidth="1"/>
    <col min="7" max="7" width="8.7109375" customWidth="1"/>
    <col min="8" max="8" width="8.140625" customWidth="1"/>
    <col min="9" max="9" width="8.28515625" customWidth="1"/>
    <col min="10" max="10" width="8.85546875" customWidth="1"/>
    <col min="11" max="11" width="10.42578125" customWidth="1"/>
    <col min="12" max="12" width="4.42578125" style="15" customWidth="1"/>
    <col min="13" max="13" width="14" customWidth="1"/>
    <col min="14" max="14" width="7.28515625" customWidth="1"/>
    <col min="15" max="16" width="10.5703125" customWidth="1"/>
  </cols>
  <sheetData>
    <row r="1" spans="1:18" ht="15.75" x14ac:dyDescent="0.25">
      <c r="A1" s="961" t="s">
        <v>189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</row>
    <row r="2" spans="1:18" x14ac:dyDescent="0.25">
      <c r="A2" s="755" t="s">
        <v>139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18" ht="15.75" x14ac:dyDescent="0.25">
      <c r="A3" s="962"/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</row>
    <row r="4" spans="1:18" x14ac:dyDescent="0.25">
      <c r="A4" s="68"/>
      <c r="B4" s="68"/>
      <c r="C4" s="68"/>
      <c r="D4" s="68"/>
      <c r="E4" s="68"/>
      <c r="F4" s="68"/>
      <c r="M4" s="69"/>
      <c r="N4" s="109"/>
      <c r="O4" s="109"/>
    </row>
    <row r="5" spans="1:18" x14ac:dyDescent="0.25">
      <c r="A5" s="963" t="s">
        <v>188</v>
      </c>
      <c r="B5" s="964"/>
      <c r="C5" s="964"/>
      <c r="D5" s="964"/>
      <c r="E5" s="965"/>
      <c r="F5" s="87"/>
      <c r="G5" s="966" t="s">
        <v>187</v>
      </c>
      <c r="H5" s="967"/>
      <c r="I5" s="967"/>
      <c r="J5" s="967"/>
      <c r="K5" s="968"/>
      <c r="L5" s="152"/>
      <c r="M5" s="963" t="s">
        <v>158</v>
      </c>
      <c r="N5" s="964"/>
      <c r="O5" s="964"/>
      <c r="P5" s="965"/>
      <c r="Q5" s="141"/>
    </row>
    <row r="6" spans="1:18" x14ac:dyDescent="0.25">
      <c r="A6" s="952"/>
      <c r="B6" s="752"/>
      <c r="C6" s="752"/>
      <c r="D6" s="752"/>
      <c r="E6" s="953"/>
      <c r="F6" s="87"/>
      <c r="G6" s="959"/>
      <c r="H6" s="868"/>
      <c r="I6" s="868"/>
      <c r="J6" s="868"/>
      <c r="K6" s="960"/>
      <c r="L6" s="152"/>
      <c r="M6" s="954" t="s">
        <v>186</v>
      </c>
      <c r="N6" s="955"/>
      <c r="O6" s="955"/>
      <c r="P6" s="956"/>
    </row>
    <row r="7" spans="1:18" x14ac:dyDescent="0.25">
      <c r="A7" s="169"/>
      <c r="B7" s="737" t="s">
        <v>137</v>
      </c>
      <c r="C7" s="738"/>
      <c r="D7" s="139"/>
      <c r="E7" s="140"/>
      <c r="F7" s="87"/>
      <c r="G7" s="169"/>
      <c r="H7" s="737" t="s">
        <v>137</v>
      </c>
      <c r="I7" s="738"/>
      <c r="J7" s="139"/>
      <c r="K7" s="140"/>
      <c r="L7" s="152"/>
      <c r="M7" s="957"/>
      <c r="N7" s="871"/>
      <c r="O7" s="871"/>
      <c r="P7" s="958"/>
    </row>
    <row r="8" spans="1:18" x14ac:dyDescent="0.25">
      <c r="A8" s="170"/>
      <c r="B8" s="167" t="s">
        <v>7</v>
      </c>
      <c r="C8" s="167" t="s">
        <v>6</v>
      </c>
      <c r="D8" s="167" t="s">
        <v>25</v>
      </c>
      <c r="E8" s="167" t="s">
        <v>26</v>
      </c>
      <c r="F8" s="87"/>
      <c r="G8" s="170"/>
      <c r="H8" s="167" t="s">
        <v>7</v>
      </c>
      <c r="I8" s="167" t="s">
        <v>6</v>
      </c>
      <c r="J8" s="167" t="s">
        <v>25</v>
      </c>
      <c r="K8" s="167" t="s">
        <v>26</v>
      </c>
      <c r="L8" s="175"/>
      <c r="M8" s="170"/>
      <c r="N8" s="15"/>
      <c r="O8" s="167" t="s">
        <v>25</v>
      </c>
      <c r="P8" s="167" t="s">
        <v>26</v>
      </c>
    </row>
    <row r="9" spans="1:18" x14ac:dyDescent="0.25">
      <c r="A9" s="111"/>
      <c r="B9" s="61"/>
      <c r="C9" s="61"/>
      <c r="D9" s="112"/>
      <c r="E9" s="113"/>
      <c r="F9" s="87"/>
      <c r="G9" s="111"/>
      <c r="H9" s="61"/>
      <c r="I9" s="61"/>
      <c r="J9" s="112"/>
      <c r="K9" s="113"/>
      <c r="L9" s="112"/>
      <c r="M9" s="111"/>
      <c r="N9" s="112"/>
      <c r="O9" s="112"/>
      <c r="P9" s="16"/>
    </row>
    <row r="10" spans="1:18" x14ac:dyDescent="0.25">
      <c r="A10" s="168" t="s">
        <v>3</v>
      </c>
      <c r="B10" s="173">
        <f>D10*6.6%/2</f>
        <v>61.186290000000007</v>
      </c>
      <c r="C10" s="173">
        <f>D10/2-B10</f>
        <v>865.87871000000007</v>
      </c>
      <c r="D10" s="172">
        <v>1854.13</v>
      </c>
      <c r="E10" s="174">
        <f>D10*12</f>
        <v>22249.56</v>
      </c>
      <c r="F10" s="87"/>
      <c r="G10" s="168" t="s">
        <v>3</v>
      </c>
      <c r="H10" s="95">
        <f>J10*6.6%/2</f>
        <v>61.186290000000007</v>
      </c>
      <c r="I10" s="95">
        <f>J10/2-H10</f>
        <v>865.87871000000007</v>
      </c>
      <c r="J10" s="95">
        <v>1854.13</v>
      </c>
      <c r="K10" s="96">
        <f>J10*12</f>
        <v>22249.56</v>
      </c>
      <c r="L10" s="114"/>
      <c r="M10" s="168" t="s">
        <v>3</v>
      </c>
      <c r="N10" s="95"/>
      <c r="O10" s="95">
        <v>1854.13</v>
      </c>
      <c r="P10" s="96">
        <f>O10*12</f>
        <v>22249.56</v>
      </c>
      <c r="Q10" s="65"/>
      <c r="R10" s="471">
        <f>O10/2</f>
        <v>927.06500000000005</v>
      </c>
    </row>
    <row r="11" spans="1:18" x14ac:dyDescent="0.25">
      <c r="A11" s="111"/>
      <c r="B11" s="171"/>
      <c r="C11" s="171"/>
      <c r="D11" s="165"/>
      <c r="E11" s="166"/>
      <c r="F11" s="87"/>
      <c r="G11" s="111"/>
      <c r="H11" s="61"/>
      <c r="I11" s="61"/>
      <c r="J11" s="115"/>
      <c r="K11" s="116"/>
      <c r="L11" s="115"/>
      <c r="M11" s="111"/>
      <c r="N11" s="115"/>
      <c r="O11" s="115"/>
      <c r="P11" s="16"/>
    </row>
    <row r="12" spans="1:18" x14ac:dyDescent="0.25">
      <c r="A12" s="168" t="s">
        <v>2</v>
      </c>
      <c r="B12" s="173">
        <f>D12*6.6%/2</f>
        <v>26.986409999999999</v>
      </c>
      <c r="C12" s="173">
        <f>D12/2-B12</f>
        <v>381.89859000000001</v>
      </c>
      <c r="D12" s="172">
        <v>817.77</v>
      </c>
      <c r="E12" s="96">
        <f>D12*12</f>
        <v>9813.24</v>
      </c>
      <c r="F12" s="87"/>
      <c r="G12" s="168" t="s">
        <v>2</v>
      </c>
      <c r="H12" s="95">
        <f>J12*6.6%/2</f>
        <v>26.986409999999999</v>
      </c>
      <c r="I12" s="95">
        <f>J12/2-H12</f>
        <v>381.89859000000001</v>
      </c>
      <c r="J12" s="95">
        <v>817.77</v>
      </c>
      <c r="K12" s="96">
        <f>J12*12</f>
        <v>9813.24</v>
      </c>
      <c r="L12" s="117"/>
      <c r="M12" s="168" t="s">
        <v>2</v>
      </c>
      <c r="N12" s="95"/>
      <c r="O12" s="95">
        <v>817.77</v>
      </c>
      <c r="P12" s="96">
        <f>O12*12</f>
        <v>9813.24</v>
      </c>
      <c r="Q12" s="65"/>
      <c r="R12" s="471">
        <f>O12/2</f>
        <v>408.88499999999999</v>
      </c>
    </row>
    <row r="13" spans="1:18" x14ac:dyDescent="0.25">
      <c r="A13" s="148"/>
      <c r="B13" s="149"/>
      <c r="C13" s="149"/>
      <c r="D13" s="150"/>
      <c r="E13" s="136"/>
      <c r="F13" s="87"/>
      <c r="G13" s="148"/>
      <c r="H13" s="149"/>
      <c r="I13" s="149"/>
      <c r="J13" s="150"/>
      <c r="K13" s="136"/>
      <c r="L13" s="156"/>
      <c r="M13" s="148"/>
      <c r="N13" s="149"/>
      <c r="O13" s="150"/>
      <c r="P13" s="136"/>
    </row>
    <row r="14" spans="1:18" x14ac:dyDescent="0.25">
      <c r="A14" s="111"/>
      <c r="B14" s="61"/>
      <c r="C14" s="61"/>
      <c r="D14" s="117"/>
      <c r="E14" s="119"/>
      <c r="F14" s="87"/>
      <c r="G14" s="111"/>
      <c r="H14" s="61"/>
      <c r="I14" s="61"/>
      <c r="J14" s="117"/>
      <c r="K14" s="119"/>
      <c r="L14" s="156"/>
      <c r="M14" s="111"/>
      <c r="N14" s="61"/>
      <c r="O14" s="117"/>
      <c r="P14" s="119"/>
    </row>
    <row r="15" spans="1:18" x14ac:dyDescent="0.25">
      <c r="A15" s="111"/>
      <c r="B15" s="61"/>
      <c r="C15" s="61"/>
      <c r="D15" s="117"/>
      <c r="E15" s="119"/>
      <c r="F15" s="87"/>
      <c r="G15" s="111"/>
      <c r="H15" s="61"/>
      <c r="I15" s="61"/>
      <c r="J15" s="117"/>
      <c r="K15" s="119"/>
      <c r="L15" s="156"/>
      <c r="M15" s="111"/>
      <c r="N15" s="61"/>
      <c r="O15" s="117"/>
      <c r="P15" s="119"/>
      <c r="R15" s="95"/>
    </row>
    <row r="16" spans="1:18" x14ac:dyDescent="0.25">
      <c r="A16" s="946" t="s">
        <v>122</v>
      </c>
      <c r="B16" s="829"/>
      <c r="C16" s="829"/>
      <c r="D16" s="829"/>
      <c r="E16" s="947"/>
      <c r="F16" s="87"/>
      <c r="G16" s="946" t="s">
        <v>122</v>
      </c>
      <c r="H16" s="829"/>
      <c r="I16" s="829"/>
      <c r="J16" s="829"/>
      <c r="K16" s="947"/>
      <c r="L16" s="164"/>
      <c r="M16" s="946" t="s">
        <v>140</v>
      </c>
      <c r="N16" s="829"/>
      <c r="O16" s="829"/>
      <c r="P16" s="947"/>
    </row>
    <row r="17" spans="1:22" x14ac:dyDescent="0.25">
      <c r="A17" s="120"/>
      <c r="B17" s="61"/>
      <c r="C17" s="61"/>
      <c r="D17" s="121"/>
      <c r="E17" s="122"/>
      <c r="F17" s="110"/>
      <c r="G17" s="120"/>
      <c r="H17" s="142"/>
      <c r="I17" s="142"/>
      <c r="J17" s="121"/>
      <c r="K17" s="122"/>
      <c r="L17" s="157"/>
      <c r="M17" s="120" t="s">
        <v>107</v>
      </c>
      <c r="N17" s="61"/>
      <c r="O17" s="93" t="s">
        <v>83</v>
      </c>
      <c r="P17" s="94" t="s">
        <v>6</v>
      </c>
    </row>
    <row r="18" spans="1:22" ht="15" customHeight="1" x14ac:dyDescent="0.25">
      <c r="A18" s="948" t="s">
        <v>138</v>
      </c>
      <c r="B18" s="703"/>
      <c r="C18" s="703"/>
      <c r="D18" s="703"/>
      <c r="E18" s="949"/>
      <c r="F18" s="92"/>
      <c r="G18" s="950" t="s">
        <v>143</v>
      </c>
      <c r="H18" s="823"/>
      <c r="I18" s="823"/>
      <c r="J18" s="823"/>
      <c r="K18" s="951"/>
      <c r="L18" s="117"/>
      <c r="M18" s="131" t="s">
        <v>3</v>
      </c>
      <c r="N18" s="143"/>
      <c r="O18" s="281">
        <f>O10/2*44%</f>
        <v>407.90860000000004</v>
      </c>
      <c r="P18" s="118">
        <f>O10/2*56%</f>
        <v>519.15640000000008</v>
      </c>
      <c r="Q18" s="479" t="s">
        <v>157</v>
      </c>
      <c r="R18" s="84">
        <f>O18+P18</f>
        <v>927.06500000000005</v>
      </c>
    </row>
    <row r="19" spans="1:22" x14ac:dyDescent="0.25">
      <c r="A19" s="185"/>
      <c r="B19" s="186"/>
      <c r="C19" s="186"/>
      <c r="D19" s="186"/>
      <c r="E19" s="187"/>
      <c r="F19" s="92"/>
      <c r="G19" s="134"/>
      <c r="H19" s="147"/>
      <c r="I19" s="147"/>
      <c r="J19" s="135"/>
      <c r="K19" s="136"/>
      <c r="L19" s="156"/>
      <c r="M19" s="131" t="s">
        <v>2</v>
      </c>
      <c r="N19" s="143"/>
      <c r="O19" s="281">
        <f>O12/2*6.6%</f>
        <v>26.986409999999999</v>
      </c>
      <c r="P19" s="119">
        <f>O12/2-O19</f>
        <v>381.89859000000001</v>
      </c>
      <c r="Q19" s="84"/>
      <c r="R19" s="84">
        <f t="shared" ref="R19:R35" si="0">O19+P19</f>
        <v>408.88499999999999</v>
      </c>
    </row>
    <row r="20" spans="1:22" x14ac:dyDescent="0.25">
      <c r="A20" s="184"/>
      <c r="B20" s="184"/>
      <c r="C20" s="184"/>
      <c r="D20" s="184"/>
      <c r="E20" s="184"/>
      <c r="F20" s="108"/>
      <c r="G20" s="121"/>
      <c r="H20" s="144"/>
      <c r="I20" s="144"/>
      <c r="J20" s="121"/>
      <c r="K20" s="158"/>
      <c r="L20" s="158"/>
      <c r="M20" s="126"/>
      <c r="N20" s="144"/>
      <c r="O20" s="106"/>
      <c r="P20" s="127"/>
      <c r="Q20" s="84"/>
      <c r="R20" s="84"/>
    </row>
    <row r="21" spans="1:22" x14ac:dyDescent="0.25">
      <c r="A21" s="188"/>
      <c r="B21" s="144"/>
      <c r="C21" s="144"/>
      <c r="D21" s="121"/>
      <c r="E21" s="157"/>
      <c r="F21" s="110"/>
      <c r="G21" s="188"/>
      <c r="H21" s="144"/>
      <c r="I21" s="144"/>
      <c r="J21" s="121"/>
      <c r="K21" s="157"/>
      <c r="L21" s="157"/>
      <c r="M21" s="120" t="s">
        <v>108</v>
      </c>
      <c r="N21" s="144"/>
      <c r="O21" s="93" t="s">
        <v>83</v>
      </c>
      <c r="P21" s="94" t="s">
        <v>6</v>
      </c>
      <c r="Q21" s="84"/>
      <c r="R21" s="84"/>
    </row>
    <row r="22" spans="1:22" x14ac:dyDescent="0.25">
      <c r="A22" s="124"/>
      <c r="B22" s="143"/>
      <c r="C22" s="143"/>
      <c r="D22" s="125"/>
      <c r="E22" s="156"/>
      <c r="F22" s="92"/>
      <c r="G22" s="124"/>
      <c r="H22" s="143"/>
      <c r="I22" s="143"/>
      <c r="J22" s="125"/>
      <c r="K22" s="156"/>
      <c r="L22" s="156"/>
      <c r="M22" s="131" t="s">
        <v>3</v>
      </c>
      <c r="N22" s="143"/>
      <c r="O22" s="281">
        <f>O10/2/2</f>
        <v>463.53250000000003</v>
      </c>
      <c r="P22" s="119">
        <f>O10/2/2</f>
        <v>463.53250000000003</v>
      </c>
      <c r="Q22" s="84"/>
      <c r="R22" s="84">
        <f t="shared" si="0"/>
        <v>927.06500000000005</v>
      </c>
      <c r="S22" s="283">
        <v>0.87</v>
      </c>
      <c r="U22" s="471">
        <f>P18*87%</f>
        <v>451.66606800000005</v>
      </c>
      <c r="V22" t="s">
        <v>179</v>
      </c>
    </row>
    <row r="23" spans="1:22" x14ac:dyDescent="0.25">
      <c r="A23" s="194"/>
      <c r="B23" s="194"/>
      <c r="C23" s="194"/>
      <c r="D23" s="194"/>
      <c r="E23" s="194"/>
      <c r="F23" s="92"/>
      <c r="G23" s="124"/>
      <c r="H23" s="143"/>
      <c r="I23" s="143"/>
      <c r="J23" s="125"/>
      <c r="K23" s="156"/>
      <c r="L23" s="156"/>
      <c r="M23" s="131" t="s">
        <v>2</v>
      </c>
      <c r="N23" s="143"/>
      <c r="O23" s="281">
        <f>O12/2-P23</f>
        <v>76.633226699999966</v>
      </c>
      <c r="P23" s="119">
        <f>P19*87%</f>
        <v>332.25177330000002</v>
      </c>
      <c r="Q23" s="84"/>
      <c r="R23" s="84">
        <f t="shared" si="0"/>
        <v>408.88499999999999</v>
      </c>
    </row>
    <row r="24" spans="1:22" x14ac:dyDescent="0.25">
      <c r="A24" s="125"/>
      <c r="B24" s="145"/>
      <c r="C24" s="145"/>
      <c r="D24" s="125"/>
      <c r="E24" s="159"/>
      <c r="F24" s="108"/>
      <c r="G24" s="125"/>
      <c r="H24" s="145"/>
      <c r="I24" s="145"/>
      <c r="J24" s="125"/>
      <c r="K24" s="159"/>
      <c r="L24" s="159"/>
      <c r="M24" s="128"/>
      <c r="N24" s="145"/>
      <c r="O24" s="91"/>
      <c r="P24" s="129"/>
      <c r="Q24" s="84"/>
      <c r="R24" s="84"/>
    </row>
    <row r="25" spans="1:22" x14ac:dyDescent="0.25">
      <c r="A25" s="91"/>
      <c r="B25" s="145"/>
      <c r="C25" s="95"/>
      <c r="D25" s="125"/>
      <c r="E25" s="112"/>
      <c r="F25" s="110"/>
      <c r="G25" s="189"/>
      <c r="H25" s="145"/>
      <c r="I25" s="145"/>
      <c r="J25" s="125"/>
      <c r="K25" s="112"/>
      <c r="L25" s="112"/>
      <c r="M25" s="130" t="s">
        <v>110</v>
      </c>
      <c r="N25" s="145"/>
      <c r="O25" s="164" t="s">
        <v>83</v>
      </c>
      <c r="P25" s="176" t="s">
        <v>6</v>
      </c>
      <c r="Q25" s="84"/>
      <c r="R25" s="84"/>
    </row>
    <row r="26" spans="1:22" x14ac:dyDescent="0.25">
      <c r="A26" s="91"/>
      <c r="B26" s="146"/>
      <c r="C26" s="146"/>
      <c r="D26" s="125"/>
      <c r="E26" s="156"/>
      <c r="F26" s="110"/>
      <c r="G26" s="91"/>
      <c r="H26" s="146"/>
      <c r="I26" s="146"/>
      <c r="J26" s="125"/>
      <c r="K26" s="156"/>
      <c r="L26" s="156"/>
      <c r="M26" s="131" t="s">
        <v>3</v>
      </c>
      <c r="N26" s="146"/>
      <c r="O26" s="281">
        <f>O10/2/2</f>
        <v>463.53250000000003</v>
      </c>
      <c r="P26" s="119">
        <f>O10/2/2</f>
        <v>463.53250000000003</v>
      </c>
      <c r="Q26" s="84"/>
      <c r="R26" s="84">
        <f t="shared" si="0"/>
        <v>927.06500000000005</v>
      </c>
      <c r="S26" s="283">
        <v>0.75</v>
      </c>
      <c r="U26" s="471">
        <f>P18*75%</f>
        <v>389.36730000000006</v>
      </c>
      <c r="V26" t="s">
        <v>180</v>
      </c>
    </row>
    <row r="27" spans="1:22" x14ac:dyDescent="0.25">
      <c r="A27" s="91"/>
      <c r="B27" s="143"/>
      <c r="C27" s="95"/>
      <c r="D27" s="125"/>
      <c r="E27" s="156"/>
      <c r="F27" s="92"/>
      <c r="G27" s="124"/>
      <c r="H27" s="143"/>
      <c r="I27" s="143"/>
      <c r="J27" s="125"/>
      <c r="K27" s="156"/>
      <c r="L27" s="156"/>
      <c r="M27" s="131" t="s">
        <v>2</v>
      </c>
      <c r="N27" s="143"/>
      <c r="O27" s="279">
        <f>O12/2-P27</f>
        <v>122.46105749999998</v>
      </c>
      <c r="P27" s="119">
        <f>P19*75%</f>
        <v>286.42394250000001</v>
      </c>
      <c r="Q27" s="84"/>
      <c r="R27" s="84">
        <f t="shared" si="0"/>
        <v>408.88499999999999</v>
      </c>
    </row>
    <row r="28" spans="1:22" x14ac:dyDescent="0.25">
      <c r="A28" s="125"/>
      <c r="B28" s="145"/>
      <c r="C28" s="95"/>
      <c r="D28" s="125"/>
      <c r="E28" s="159"/>
      <c r="F28" s="108"/>
      <c r="G28" s="125"/>
      <c r="H28" s="145"/>
      <c r="I28" s="145"/>
      <c r="J28" s="125"/>
      <c r="K28" s="159"/>
      <c r="L28" s="159"/>
      <c r="M28" s="128"/>
      <c r="N28" s="145"/>
      <c r="O28" s="91"/>
      <c r="P28" s="129"/>
      <c r="Q28" s="84"/>
      <c r="R28" s="84"/>
    </row>
    <row r="29" spans="1:22" x14ac:dyDescent="0.25">
      <c r="A29" s="91"/>
      <c r="B29" s="145"/>
      <c r="C29" s="145"/>
      <c r="D29" s="125"/>
      <c r="E29" s="112"/>
      <c r="F29" s="110"/>
      <c r="G29" s="189"/>
      <c r="H29" s="145"/>
      <c r="I29" s="145"/>
      <c r="J29" s="125"/>
      <c r="K29" s="112"/>
      <c r="L29" s="112"/>
      <c r="M29" s="130" t="s">
        <v>109</v>
      </c>
      <c r="N29" s="145"/>
      <c r="O29" s="164" t="s">
        <v>83</v>
      </c>
      <c r="P29" s="176" t="s">
        <v>6</v>
      </c>
      <c r="Q29" s="84"/>
      <c r="R29" s="84"/>
    </row>
    <row r="30" spans="1:22" x14ac:dyDescent="0.25">
      <c r="A30" s="91"/>
      <c r="B30" s="143"/>
      <c r="C30" s="143"/>
      <c r="D30" s="125"/>
      <c r="E30" s="160"/>
      <c r="F30" s="92"/>
      <c r="G30" s="124"/>
      <c r="H30" s="143"/>
      <c r="I30" s="143"/>
      <c r="J30" s="125"/>
      <c r="K30" s="160"/>
      <c r="L30" s="160"/>
      <c r="M30" s="131" t="s">
        <v>3</v>
      </c>
      <c r="N30" s="143"/>
      <c r="O30" s="160">
        <f>O10/2/2</f>
        <v>463.53250000000003</v>
      </c>
      <c r="P30" s="132">
        <f>O10/2/2</f>
        <v>463.53250000000003</v>
      </c>
      <c r="Q30" s="84"/>
      <c r="R30" s="84">
        <f t="shared" si="0"/>
        <v>927.06500000000005</v>
      </c>
      <c r="S30" s="283">
        <v>0.62</v>
      </c>
      <c r="U30" s="471">
        <f>P18*62%</f>
        <v>321.87696800000003</v>
      </c>
      <c r="V30" t="s">
        <v>180</v>
      </c>
    </row>
    <row r="31" spans="1:22" x14ac:dyDescent="0.25">
      <c r="A31" s="91"/>
      <c r="B31" s="143"/>
      <c r="C31" s="143"/>
      <c r="D31" s="125"/>
      <c r="E31" s="160"/>
      <c r="F31" s="92"/>
      <c r="G31" s="124"/>
      <c r="H31" s="143"/>
      <c r="I31" s="143"/>
      <c r="J31" s="125"/>
      <c r="K31" s="160"/>
      <c r="L31" s="160"/>
      <c r="M31" s="131" t="s">
        <v>2</v>
      </c>
      <c r="N31" s="143"/>
      <c r="O31" s="279">
        <f>O12/2-P31</f>
        <v>172.1078742</v>
      </c>
      <c r="P31" s="132">
        <f>P19*62%</f>
        <v>236.77712579999999</v>
      </c>
      <c r="Q31" s="84"/>
      <c r="R31" s="84">
        <f t="shared" si="0"/>
        <v>408.88499999999999</v>
      </c>
    </row>
    <row r="32" spans="1:22" x14ac:dyDescent="0.25">
      <c r="A32" s="125"/>
      <c r="B32" s="145"/>
      <c r="C32" s="145"/>
      <c r="D32" s="125"/>
      <c r="E32" s="161"/>
      <c r="F32" s="108"/>
      <c r="G32" s="125"/>
      <c r="H32" s="145"/>
      <c r="I32" s="145"/>
      <c r="J32" s="125"/>
      <c r="K32" s="161"/>
      <c r="L32" s="161"/>
      <c r="M32" s="128"/>
      <c r="N32" s="145"/>
      <c r="O32" s="91"/>
      <c r="P32" s="133"/>
      <c r="Q32" s="84"/>
      <c r="R32" s="84"/>
    </row>
    <row r="33" spans="1:22" x14ac:dyDescent="0.25">
      <c r="A33" s="189"/>
      <c r="B33" s="143"/>
      <c r="C33" s="143"/>
      <c r="D33" s="124"/>
      <c r="E33" s="112"/>
      <c r="F33" s="110"/>
      <c r="G33" s="189"/>
      <c r="H33" s="143"/>
      <c r="I33" s="143"/>
      <c r="J33" s="124"/>
      <c r="K33" s="112"/>
      <c r="L33" s="112"/>
      <c r="M33" s="130" t="s">
        <v>106</v>
      </c>
      <c r="N33" s="143"/>
      <c r="O33" s="164" t="s">
        <v>83</v>
      </c>
      <c r="P33" s="176" t="s">
        <v>6</v>
      </c>
      <c r="Q33" s="84"/>
      <c r="R33" s="84"/>
    </row>
    <row r="34" spans="1:22" x14ac:dyDescent="0.25">
      <c r="A34" s="124"/>
      <c r="B34" s="143"/>
      <c r="C34" s="143"/>
      <c r="D34" s="125"/>
      <c r="E34" s="156"/>
      <c r="F34" s="92"/>
      <c r="G34" s="124"/>
      <c r="H34" s="143"/>
      <c r="I34" s="143"/>
      <c r="J34" s="125"/>
      <c r="K34" s="156"/>
      <c r="L34" s="156"/>
      <c r="M34" s="131" t="s">
        <v>3</v>
      </c>
      <c r="N34" s="143"/>
      <c r="O34" s="156">
        <f>O10/2/2</f>
        <v>463.53250000000003</v>
      </c>
      <c r="P34" s="119">
        <f>O10/2/2</f>
        <v>463.53250000000003</v>
      </c>
      <c r="Q34" s="84"/>
      <c r="R34" s="84">
        <f t="shared" si="0"/>
        <v>927.06500000000005</v>
      </c>
      <c r="S34" s="283">
        <v>0.5</v>
      </c>
      <c r="U34" s="471">
        <f>P18*50%</f>
        <v>259.57820000000004</v>
      </c>
      <c r="V34" t="s">
        <v>180</v>
      </c>
    </row>
    <row r="35" spans="1:22" x14ac:dyDescent="0.25">
      <c r="A35" s="124"/>
      <c r="B35" s="143"/>
      <c r="C35" s="143"/>
      <c r="D35" s="125"/>
      <c r="E35" s="156"/>
      <c r="F35" s="92"/>
      <c r="G35" s="124"/>
      <c r="H35" s="143"/>
      <c r="I35" s="143"/>
      <c r="J35" s="125"/>
      <c r="K35" s="156"/>
      <c r="L35" s="156"/>
      <c r="M35" s="177" t="s">
        <v>2</v>
      </c>
      <c r="N35" s="147"/>
      <c r="O35" s="280">
        <f>O12/2-P35</f>
        <v>204.4425</v>
      </c>
      <c r="P35" s="136">
        <f>O12/2/2</f>
        <v>204.4425</v>
      </c>
      <c r="Q35" s="84"/>
      <c r="R35" s="84">
        <f t="shared" si="0"/>
        <v>408.88499999999999</v>
      </c>
    </row>
    <row r="36" spans="1:22" x14ac:dyDescent="0.25">
      <c r="A36" s="121"/>
      <c r="B36" s="121"/>
      <c r="C36" s="121"/>
      <c r="D36" s="121"/>
      <c r="E36" s="158"/>
      <c r="F36" s="108"/>
      <c r="G36" s="15"/>
      <c r="H36" s="15"/>
      <c r="I36" s="15"/>
      <c r="J36" s="15"/>
      <c r="K36" s="15"/>
      <c r="M36" s="68"/>
      <c r="N36" s="68"/>
      <c r="O36" s="68"/>
      <c r="P36" s="70"/>
    </row>
    <row r="37" spans="1:22" x14ac:dyDescent="0.25">
      <c r="A37" s="91"/>
      <c r="B37" s="124"/>
      <c r="C37" s="124"/>
      <c r="D37" s="124"/>
      <c r="E37" s="156"/>
      <c r="F37" s="75"/>
      <c r="M37" s="69"/>
      <c r="N37" s="68"/>
      <c r="O37" s="68"/>
    </row>
    <row r="38" spans="1:22" x14ac:dyDescent="0.25">
      <c r="A38" s="91"/>
      <c r="B38" s="68"/>
      <c r="C38" s="68"/>
      <c r="D38" s="68"/>
      <c r="E38" s="70"/>
      <c r="F38" s="68"/>
      <c r="M38" s="69"/>
      <c r="N38" s="68"/>
      <c r="O38" s="68"/>
    </row>
    <row r="39" spans="1:22" x14ac:dyDescent="0.25">
      <c r="A39" s="64"/>
      <c r="E39" s="63"/>
      <c r="M39" s="62"/>
    </row>
  </sheetData>
  <mergeCells count="17">
    <mergeCell ref="A1:P1"/>
    <mergeCell ref="A2:P2"/>
    <mergeCell ref="A3:P3"/>
    <mergeCell ref="A5:E5"/>
    <mergeCell ref="G5:K5"/>
    <mergeCell ref="M5:P5"/>
    <mergeCell ref="B7:C7"/>
    <mergeCell ref="H7:I7"/>
    <mergeCell ref="A6:E6"/>
    <mergeCell ref="M6:P6"/>
    <mergeCell ref="M7:P7"/>
    <mergeCell ref="G6:K6"/>
    <mergeCell ref="A16:E16"/>
    <mergeCell ref="G16:K16"/>
    <mergeCell ref="M16:P16"/>
    <mergeCell ref="A18:E18"/>
    <mergeCell ref="G18:K18"/>
  </mergeCells>
  <pageMargins left="0.2" right="0.14000000000000001" top="0.23" bottom="0.24" header="0.25" footer="0.19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33E6D4FPPFNA-1977525168-168</_dlc_DocId>
    <_dlc_DocIdUrl xmlns="bb65cc95-6d4e-4879-a879-9838761499af">
      <Url>https://doa.wi.gov/_layouts/15/DocIdRedir.aspx?ID=33E6D4FPPFNA-1977525168-168</Url>
      <Description>33E6D4FPPFNA-1977525168-168</Description>
    </_dlc_DocIdUrl>
    <Update xmlns="430ccf61-7fd4-4f02-9e46-4206f6bb0ea6">true</Up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0E6A36-72D5-48EC-9E09-A366752FF66F}"/>
</file>

<file path=customXml/itemProps2.xml><?xml version="1.0" encoding="utf-8"?>
<ds:datastoreItem xmlns:ds="http://schemas.openxmlformats.org/officeDocument/2006/customXml" ds:itemID="{D708601A-1A0F-4F60-8D3C-5CD05239124E}"/>
</file>

<file path=customXml/itemProps3.xml><?xml version="1.0" encoding="utf-8"?>
<ds:datastoreItem xmlns:ds="http://schemas.openxmlformats.org/officeDocument/2006/customXml" ds:itemID="{4E4F2D18-4BAF-4129-A403-1259041E062A}"/>
</file>

<file path=customXml/itemProps4.xml><?xml version="1.0" encoding="utf-8"?>
<ds:datastoreItem xmlns:ds="http://schemas.openxmlformats.org/officeDocument/2006/customXml" ds:itemID="{AA772E62-46EB-412D-A00D-ED7875912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10</vt:i4>
      </vt:variant>
    </vt:vector>
  </HeadingPairs>
  <TitlesOfParts>
    <vt:vector size="34" baseType="lpstr">
      <vt:lpstr>All Health (19) 2017</vt:lpstr>
      <vt:lpstr>All Health 24 Teacher Only-2017</vt:lpstr>
      <vt:lpstr>All Health 24-Non-Teacher-2017</vt:lpstr>
      <vt:lpstr>All Health (20) 2017</vt:lpstr>
      <vt:lpstr>All Health (19) - 15</vt:lpstr>
      <vt:lpstr>All Health 24-Teachers Only-15</vt:lpstr>
      <vt:lpstr>All Health (20)-15</vt:lpstr>
      <vt:lpstr>All Heath-Non-Teacher(24) 15</vt:lpstr>
      <vt:lpstr>Health 250-500 (2014)</vt:lpstr>
      <vt:lpstr>Health 1500-3000 (2014)</vt:lpstr>
      <vt:lpstr>Option New Amounts 2014 </vt:lpstr>
      <vt:lpstr>Benefits-Deductions 13-14</vt:lpstr>
      <vt:lpstr>Paraprofessional</vt:lpstr>
      <vt:lpstr>Cook</vt:lpstr>
      <vt:lpstr>Busdriver</vt:lpstr>
      <vt:lpstr>Custodian</vt:lpstr>
      <vt:lpstr>Admin</vt:lpstr>
      <vt:lpstr>Teaching Staff</vt:lpstr>
      <vt:lpstr>9-Mo. Sec</vt:lpstr>
      <vt:lpstr>Nurse</vt:lpstr>
      <vt:lpstr>Com. Ed</vt:lpstr>
      <vt:lpstr>Virtual Coor.</vt:lpstr>
      <vt:lpstr>12 Mo. Secretary</vt:lpstr>
      <vt:lpstr>Bookkeeper</vt:lpstr>
      <vt:lpstr>'All Health (19) - 15'!Print_Area</vt:lpstr>
      <vt:lpstr>'All Health (19) 2017'!Print_Area</vt:lpstr>
      <vt:lpstr>'All Health (20) 2017'!Print_Area</vt:lpstr>
      <vt:lpstr>'All Health (20)-15'!Print_Area</vt:lpstr>
      <vt:lpstr>'All Health 24 Teacher Only-2017'!Print_Area</vt:lpstr>
      <vt:lpstr>'All Health 24-Non-Teacher-2017'!Print_Area</vt:lpstr>
      <vt:lpstr>'All Health 24-Teachers Only-15'!Print_Area</vt:lpstr>
      <vt:lpstr>'All Heath-Non-Teacher(24) 15'!Print_Area</vt:lpstr>
      <vt:lpstr>'Health 1500-3000 (2014)'!Print_Area</vt:lpstr>
      <vt:lpstr>'Health 250-500 (2014)'!Print_Area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 Crox Central</dc:title>
  <dc:creator>jerry</dc:creator>
  <cp:lastModifiedBy>Jennifer Kleschold</cp:lastModifiedBy>
  <cp:lastPrinted>2015-11-03T21:40:11Z</cp:lastPrinted>
  <dcterms:created xsi:type="dcterms:W3CDTF">2009-02-02T01:19:15Z</dcterms:created>
  <dcterms:modified xsi:type="dcterms:W3CDTF">2017-10-24T17:22:43Z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db0a6cd4-5254-4190-bdf6-77d3250249ca</vt:lpwstr>
  </property>
  <property fmtid="{D5CDD505-2E9C-101B-9397-08002B2CF9AE}" pid="3" name="ContentTypeId">
    <vt:lpwstr>0x01010015323B83EF4D244FBE6EC8AF00870425</vt:lpwstr>
  </property>
</Properties>
</file>